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élix\Downloads\"/>
    </mc:Choice>
  </mc:AlternateContent>
  <bookViews>
    <workbookView xWindow="0" yWindow="0" windowWidth="28800" windowHeight="12330" activeTab="1"/>
  </bookViews>
  <sheets>
    <sheet name="2019" sheetId="1" r:id="rId1"/>
    <sheet name="2020" sheetId="2" r:id="rId2"/>
    <sheet name="2021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0" i="3"/>
  <c r="E11" i="3"/>
  <c r="N11" i="3" s="1"/>
  <c r="E10" i="3"/>
  <c r="D11" i="3"/>
  <c r="D10" i="3"/>
  <c r="N14" i="3"/>
  <c r="N13" i="3"/>
  <c r="N10" i="3"/>
  <c r="N8" i="3"/>
  <c r="I4" i="3"/>
  <c r="I15" i="3" s="1"/>
  <c r="E4" i="3"/>
  <c r="N6" i="3"/>
  <c r="N5" i="3"/>
  <c r="M4" i="3"/>
  <c r="M15" i="3" s="1"/>
  <c r="L4" i="3"/>
  <c r="L15" i="3" s="1"/>
  <c r="K4" i="3"/>
  <c r="K15" i="3" s="1"/>
  <c r="J4" i="3"/>
  <c r="J15" i="3" s="1"/>
  <c r="H4" i="3"/>
  <c r="H15" i="3" s="1"/>
  <c r="G4" i="3"/>
  <c r="F4" i="3"/>
  <c r="D4" i="3"/>
  <c r="C4" i="3"/>
  <c r="B4" i="3"/>
  <c r="B15" i="3" s="1"/>
  <c r="E15" i="3" l="1"/>
  <c r="F15" i="3"/>
  <c r="D15" i="3"/>
  <c r="G15" i="3"/>
  <c r="C15" i="3"/>
  <c r="N16" i="3"/>
  <c r="N15" i="3" l="1"/>
  <c r="J10" i="2" l="1"/>
  <c r="J11" i="2"/>
  <c r="G14" i="2"/>
  <c r="N11" i="2" l="1"/>
  <c r="N10" i="2"/>
  <c r="I13" i="2"/>
  <c r="H13" i="2"/>
  <c r="H14" i="2"/>
  <c r="F14" i="2"/>
  <c r="E14" i="2"/>
  <c r="D14" i="2"/>
  <c r="D13" i="2"/>
  <c r="C14" i="2"/>
  <c r="B14" i="2"/>
  <c r="N14" i="2" s="1"/>
  <c r="I8" i="2"/>
  <c r="H8" i="2"/>
  <c r="G8" i="2"/>
  <c r="F8" i="2"/>
  <c r="E8" i="2"/>
  <c r="D8" i="2"/>
  <c r="C8" i="2"/>
  <c r="B8" i="2"/>
  <c r="N8" i="2" s="1"/>
  <c r="I6" i="2"/>
  <c r="H6" i="2"/>
  <c r="G6" i="2"/>
  <c r="F6" i="2"/>
  <c r="E6" i="2"/>
  <c r="D6" i="2"/>
  <c r="C6" i="2"/>
  <c r="B6" i="2"/>
  <c r="N6" i="2" s="1"/>
  <c r="I5" i="2"/>
  <c r="H5" i="2"/>
  <c r="H4" i="2" s="1"/>
  <c r="H15" i="2" s="1"/>
  <c r="G5" i="2"/>
  <c r="F5" i="2"/>
  <c r="E5" i="2"/>
  <c r="E4" i="2" s="1"/>
  <c r="D5" i="2"/>
  <c r="D4" i="2" s="1"/>
  <c r="D15" i="2" s="1"/>
  <c r="C5" i="2"/>
  <c r="C4" i="2" s="1"/>
  <c r="C15" i="2" s="1"/>
  <c r="B5" i="2"/>
  <c r="B4" i="2" s="1"/>
  <c r="B15" i="2" s="1"/>
  <c r="L4" i="2"/>
  <c r="L15" i="2" s="1"/>
  <c r="M4" i="2"/>
  <c r="M15" i="2" s="1"/>
  <c r="J4" i="2"/>
  <c r="J15" i="2" s="1"/>
  <c r="L14" i="1"/>
  <c r="M14" i="1"/>
  <c r="L13" i="1"/>
  <c r="J13" i="1"/>
  <c r="K14" i="1"/>
  <c r="E14" i="1"/>
  <c r="D14" i="1"/>
  <c r="M8" i="1"/>
  <c r="N8" i="1" s="1"/>
  <c r="L8" i="1"/>
  <c r="K8" i="1"/>
  <c r="J8" i="1"/>
  <c r="I8" i="1"/>
  <c r="H8" i="1"/>
  <c r="G8" i="1"/>
  <c r="F8" i="1"/>
  <c r="E8" i="1"/>
  <c r="D8" i="1"/>
  <c r="C8" i="1"/>
  <c r="B8" i="1"/>
  <c r="M6" i="1"/>
  <c r="L6" i="1"/>
  <c r="K6" i="1"/>
  <c r="J6" i="1"/>
  <c r="I6" i="1"/>
  <c r="H6" i="1"/>
  <c r="G6" i="1"/>
  <c r="F6" i="1"/>
  <c r="E6" i="1"/>
  <c r="D6" i="1"/>
  <c r="D5" i="1"/>
  <c r="C6" i="1"/>
  <c r="B6" i="1"/>
  <c r="M5" i="1"/>
  <c r="L5" i="1"/>
  <c r="K5" i="1"/>
  <c r="J5" i="1"/>
  <c r="J4" i="1" s="1"/>
  <c r="J15" i="1" s="1"/>
  <c r="I5" i="1"/>
  <c r="H5" i="1"/>
  <c r="G5" i="1"/>
  <c r="F5" i="1"/>
  <c r="E5" i="1"/>
  <c r="C5" i="1"/>
  <c r="B5" i="1"/>
  <c r="N11" i="1"/>
  <c r="N10" i="1"/>
  <c r="N13" i="2" l="1"/>
  <c r="N13" i="1"/>
  <c r="E15" i="2"/>
  <c r="N5" i="2"/>
  <c r="N16" i="2" s="1"/>
  <c r="D4" i="1"/>
  <c r="D15" i="1" s="1"/>
  <c r="F4" i="2"/>
  <c r="F15" i="2" s="1"/>
  <c r="I4" i="2"/>
  <c r="I15" i="2" s="1"/>
  <c r="G4" i="2"/>
  <c r="G15" i="2" s="1"/>
  <c r="K4" i="2"/>
  <c r="K15" i="2" s="1"/>
  <c r="N14" i="1"/>
  <c r="M4" i="1"/>
  <c r="M15" i="1" s="1"/>
  <c r="H4" i="1"/>
  <c r="H15" i="1" s="1"/>
  <c r="I4" i="1"/>
  <c r="I15" i="1" s="1"/>
  <c r="L4" i="1"/>
  <c r="L15" i="1" s="1"/>
  <c r="B4" i="1"/>
  <c r="B15" i="1" s="1"/>
  <c r="E4" i="1"/>
  <c r="E15" i="1" s="1"/>
  <c r="F4" i="1"/>
  <c r="F15" i="1" s="1"/>
  <c r="N5" i="1"/>
  <c r="N6" i="1"/>
  <c r="C4" i="1"/>
  <c r="C15" i="1" s="1"/>
  <c r="G4" i="1"/>
  <c r="G15" i="1" s="1"/>
  <c r="K4" i="1"/>
  <c r="K15" i="1" s="1"/>
  <c r="N16" i="1" l="1"/>
  <c r="N15" i="2"/>
  <c r="N15" i="1"/>
</calcChain>
</file>

<file path=xl/sharedStrings.xml><?xml version="1.0" encoding="utf-8"?>
<sst xmlns="http://schemas.openxmlformats.org/spreadsheetml/2006/main" count="66" uniqueCount="25">
  <si>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</si>
  <si>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</si>
  <si>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</si>
  <si>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</si>
  <si>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</si>
  <si>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</si>
  <si>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</si>
  <si>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</si>
  <si>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</si>
  <si>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</si>
  <si>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</si>
  <si>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</si>
  <si>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SUMA PARTICPACIONES EST. Y FED. </t>
  </si>
  <si>
    <t>INGRESOS PROPIOS</t>
  </si>
  <si>
    <t>TOTALES</t>
  </si>
  <si>
    <t>PARTICIPACIONES FEDERALES</t>
  </si>
  <si>
    <t>PARTICIPACIONES ESTATALES</t>
  </si>
  <si>
    <t>PARTICIPACION FEDERAL</t>
  </si>
  <si>
    <t xml:space="preserve">APORTACIONES FORTALECIMIENTO </t>
  </si>
  <si>
    <t>APORTACIONES INFRAESTRUCTURA SOCIAL</t>
  </si>
  <si>
    <t>PROGRAMAS VARIOS</t>
  </si>
  <si>
    <t>INGRESOS POR PARTICIPACIONES FEDERALES Y ESTATALES, APORTACIONES E INGRESOS PROPIOS 2019</t>
  </si>
  <si>
    <t>INGRESOS POR PARTICIPACIONES FEDERALES Y ESTATALES, APORTACIONES E INGRESOS PROPIOS 2020</t>
  </si>
  <si>
    <t>APORTACION INFRAESTRUCTURA SOCIAL</t>
  </si>
  <si>
    <t xml:space="preserve">APORTACION FORTALECIMIENTO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</si>
</sst>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/>
    <xf numFmtId="0" fontId="3" fillId="0" borderId="3" xfId="0" applyFont="1" applyBorder="1" applyAlignment="1"/>
    <xf numFmtId="0" fontId="5" fillId="2" borderId="1" xfId="0" applyFont="1" applyFill="1" applyBorder="1" applyAlignment="1">
      <alignment horizontal="right" vertical="justify"/>
    </xf>
    <xf numFmtId="44" fontId="3" fillId="2" borderId="1" xfId="2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44" fontId="4" fillId="0" borderId="1" xfId="2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44" fontId="3" fillId="3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justify"/>
    </xf>
    <xf numFmtId="44" fontId="4" fillId="4" borderId="1" xfId="2" applyFont="1" applyFill="1" applyBorder="1" applyAlignment="1">
      <alignment vertical="center"/>
    </xf>
    <xf numFmtId="15" fontId="4" fillId="4" borderId="1" xfId="0" applyNumberFormat="1" applyFont="1" applyFill="1" applyBorder="1" applyAlignment="1">
      <alignment vertical="center"/>
    </xf>
    <xf numFmtId="8" fontId="4" fillId="4" borderId="1" xfId="0" applyNumberFormat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4" fontId="4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/>
    <xf numFmtId="43" fontId="4" fillId="0" borderId="0" xfId="1" applyFont="1"/>
    <xf numFmtId="43" fontId="0" fillId="0" borderId="0" xfId="1" applyFont="1"/>
    <xf numFmtId="44" fontId="0" fillId="0" borderId="0" xfId="0" applyNumberFormat="1"/>
    <xf numFmtId="0" fontId="3" fillId="0" borderId="2" xfId="0" applyFont="1" applyBorder="1" applyAlignment="1">
      <alignment horizontal="center"/>
    </xf>
    <xf numFmtId="0" fontId="2" fillId="0" borderId="0" xfId="0" applyFont="1" applyBorder="1" applyAlignment="1"/>
    <xf numFmtId="44" fontId="0" fillId="0" borderId="0" xfId="2" applyFont="1" applyBorder="1" applyAlignment="1"/>
    <xf numFmtId="10" fontId="0" fillId="0" borderId="0" xfId="0" applyNumberFormat="1" applyBorder="1" applyAlignment="1"/>
    <xf numFmtId="0" fontId="6" fillId="0" borderId="1" xfId="0" applyFont="1" applyFill="1" applyBorder="1" applyAlignment="1">
      <alignment horizontal="right" vertical="justify"/>
    </xf>
    <xf numFmtId="44" fontId="7" fillId="0" borderId="1" xfId="2" applyFont="1" applyFill="1" applyBorder="1" applyAlignment="1">
      <alignment vertical="center"/>
    </xf>
    <xf numFmtId="44" fontId="7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justify"/>
    </xf>
    <xf numFmtId="44" fontId="3" fillId="0" borderId="1" xfId="2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justify"/>
    </xf>
    <xf numFmtId="44" fontId="4" fillId="0" borderId="1" xfId="2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0" fontId="0" fillId="0" borderId="0" xfId="0" applyFill="1"/>
    <xf numFmtId="0" fontId="8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left" vertical="justify"/>
    </xf>
    <xf numFmtId="44" fontId="4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justify"/>
    </xf>
    <xf numFmtId="44" fontId="4" fillId="0" borderId="0" xfId="0" applyNumberFormat="1" applyFont="1"/>
    <xf numFmtId="0" fontId="0" fillId="0" borderId="0" xfId="0" applyBorder="1"/>
    <xf numFmtId="0" fontId="8" fillId="0" borderId="1" xfId="0" applyFont="1" applyBorder="1" applyAlignment="1">
      <alignment horizontal="left" vertical="justify"/>
    </xf>
    <xf numFmtId="44" fontId="9" fillId="0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INGRESOS ENERO-AGOSTO</a:t>
            </a:r>
            <a:r>
              <a:rPr lang="es-MX" baseline="0"/>
              <a:t>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79177602799651E-2"/>
          <c:y val="0.17171296296296298"/>
          <c:w val="0.89665266841644797"/>
          <c:h val="0.330226377952756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[1]INGRESOS!$A$2</c:f>
              <c:strCache>
                <c:ptCount val="1"/>
                <c:pt idx="0">
                  <c:v>FECHAS DE LA ENTREGA DE PARTICIPACIONES DE ENERO A DICIEMBRE 2019 AL MUNICIPIO DE EL SALTO, JAL.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[1]INGRESOS!$B$2:$Z$2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EC2-9D3F-569DD28F0F79}"/>
            </c:ext>
          </c:extLst>
        </c:ser>
        <c:ser>
          <c:idx val="1"/>
          <c:order val="1"/>
          <c:tx>
            <c:strRef>
              <c:f>[1]INGRESOS!$A$3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[1]INGRESOS!$B$3:$Z$3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EF-4EC2-9D3F-569DD28F0F79}"/>
            </c:ext>
          </c:extLst>
        </c:ser>
        <c:ser>
          <c:idx val="2"/>
          <c:order val="2"/>
          <c:tx>
            <c:strRef>
              <c:f>[1]INGRESOS!$A$4</c:f>
              <c:strCache>
                <c:ptCount val="1"/>
                <c:pt idx="0">
                  <c:v>CONCEPTO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[1]INGRESOS!$B$4:$Z$4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F-4EC2-9D3F-569DD28F0F79}"/>
            </c:ext>
          </c:extLst>
        </c:ser>
        <c:ser>
          <c:idx val="3"/>
          <c:order val="3"/>
          <c:tx>
            <c:strRef>
              <c:f>[1]INGRESOS!$A$5</c:f>
              <c:strCache>
                <c:ptCount val="1"/>
                <c:pt idx="0">
                  <c:v>SUMA PARTICPACIONES EST. Y FED.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[1]INGRESOS!$B$5:$Z$5</c:f>
              <c:numCache>
                <c:formatCode>General</c:formatCode>
                <c:ptCount val="25"/>
                <c:pt idx="0">
                  <c:v>15311700.279999999</c:v>
                </c:pt>
                <c:pt idx="1">
                  <c:v>43480</c:v>
                </c:pt>
                <c:pt idx="2">
                  <c:v>21056466.16</c:v>
                </c:pt>
                <c:pt idx="3">
                  <c:v>43511</c:v>
                </c:pt>
                <c:pt idx="4">
                  <c:v>19503266.77</c:v>
                </c:pt>
                <c:pt idx="5">
                  <c:v>43539</c:v>
                </c:pt>
                <c:pt idx="6">
                  <c:v>16188165.649999999</c:v>
                </c:pt>
                <c:pt idx="7">
                  <c:v>43570</c:v>
                </c:pt>
                <c:pt idx="8">
                  <c:v>22550318.969999999</c:v>
                </c:pt>
                <c:pt idx="9">
                  <c:v>43600</c:v>
                </c:pt>
                <c:pt idx="10">
                  <c:v>19509394.98</c:v>
                </c:pt>
                <c:pt idx="11">
                  <c:v>43630</c:v>
                </c:pt>
                <c:pt idx="12">
                  <c:v>22941752.259999998</c:v>
                </c:pt>
                <c:pt idx="13">
                  <c:v>43661</c:v>
                </c:pt>
                <c:pt idx="14">
                  <c:v>15445630.269999998</c:v>
                </c:pt>
                <c:pt idx="15">
                  <c:v>43692</c:v>
                </c:pt>
                <c:pt idx="16">
                  <c:v>16101619.550000001</c:v>
                </c:pt>
                <c:pt idx="17">
                  <c:v>0</c:v>
                </c:pt>
                <c:pt idx="18">
                  <c:v>16687416.210000001</c:v>
                </c:pt>
                <c:pt idx="19">
                  <c:v>0</c:v>
                </c:pt>
                <c:pt idx="20">
                  <c:v>17622925.68</c:v>
                </c:pt>
                <c:pt idx="21">
                  <c:v>0</c:v>
                </c:pt>
                <c:pt idx="22">
                  <c:v>23972593.41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EF-4EC2-9D3F-569DD28F0F79}"/>
            </c:ext>
          </c:extLst>
        </c:ser>
        <c:ser>
          <c:idx val="4"/>
          <c:order val="4"/>
          <c:tx>
            <c:strRef>
              <c:f>[1]INGRESOS!$A$26</c:f>
              <c:strCache>
                <c:ptCount val="1"/>
                <c:pt idx="0">
                  <c:v>FONDO DE FISCALIZACION Y RECAUDACION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[1]INGRESOS!$B$26:$Z$26</c:f>
              <c:numCache>
                <c:formatCode>General</c:formatCode>
                <c:ptCount val="25"/>
                <c:pt idx="0">
                  <c:v>753788.94</c:v>
                </c:pt>
                <c:pt idx="1">
                  <c:v>43494</c:v>
                </c:pt>
                <c:pt idx="2">
                  <c:v>1191844.3899999999</c:v>
                </c:pt>
                <c:pt idx="3">
                  <c:v>43521</c:v>
                </c:pt>
                <c:pt idx="4">
                  <c:v>0</c:v>
                </c:pt>
                <c:pt idx="5">
                  <c:v>0</c:v>
                </c:pt>
                <c:pt idx="6">
                  <c:v>1140371.17</c:v>
                </c:pt>
                <c:pt idx="7">
                  <c:v>43585</c:v>
                </c:pt>
                <c:pt idx="8">
                  <c:v>1288452.8500000001</c:v>
                </c:pt>
                <c:pt idx="9">
                  <c:v>43616</c:v>
                </c:pt>
                <c:pt idx="10">
                  <c:v>954089.68</c:v>
                </c:pt>
                <c:pt idx="11">
                  <c:v>43642</c:v>
                </c:pt>
                <c:pt idx="12">
                  <c:v>1622896.13</c:v>
                </c:pt>
                <c:pt idx="13">
                  <c:v>43676</c:v>
                </c:pt>
                <c:pt idx="14">
                  <c:v>1108802.0900000001</c:v>
                </c:pt>
                <c:pt idx="15">
                  <c:v>43703</c:v>
                </c:pt>
                <c:pt idx="16">
                  <c:v>1150311.42</c:v>
                </c:pt>
                <c:pt idx="17">
                  <c:v>43733</c:v>
                </c:pt>
                <c:pt idx="18">
                  <c:v>1114131.74</c:v>
                </c:pt>
                <c:pt idx="19">
                  <c:v>0</c:v>
                </c:pt>
                <c:pt idx="20">
                  <c:v>898923.09</c:v>
                </c:pt>
                <c:pt idx="21">
                  <c:v>0</c:v>
                </c:pt>
                <c:pt idx="22">
                  <c:v>1132771.33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EF-4EC2-9D3F-569DD28F0F79}"/>
            </c:ext>
          </c:extLst>
        </c:ser>
        <c:ser>
          <c:idx val="5"/>
          <c:order val="5"/>
          <c:tx>
            <c:strRef>
              <c:f>[1]INGRESOS!$A$27</c:f>
              <c:strCache>
                <c:ptCount val="1"/>
                <c:pt idx="0">
                  <c:v>FONDO DE FISCALIZA. AL 40% Y 60%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[1]INGRESOS!$B$27:$Z$27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737192.37</c:v>
                </c:pt>
                <c:pt idx="5">
                  <c:v>43549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F-4EC2-9D3F-569DD28F0F79}"/>
            </c:ext>
          </c:extLst>
        </c:ser>
        <c:ser>
          <c:idx val="6"/>
          <c:order val="6"/>
          <c:tx>
            <c:strRef>
              <c:f>[1]INGRESOS!$A$28</c:f>
              <c:strCache>
                <c:ptCount val="1"/>
                <c:pt idx="0">
                  <c:v>I.E.P.S. GASOLINA Y DIESEL HASTA 2013 Y ACTOS DE FISCALIZACION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[1]INGRESOS!$B$28:$Z$28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2645.11</c:v>
                </c:pt>
                <c:pt idx="9">
                  <c:v>43598</c:v>
                </c:pt>
                <c:pt idx="10">
                  <c:v>3210.17</c:v>
                </c:pt>
                <c:pt idx="11">
                  <c:v>43630</c:v>
                </c:pt>
                <c:pt idx="12">
                  <c:v>0</c:v>
                </c:pt>
                <c:pt idx="13">
                  <c:v>0</c:v>
                </c:pt>
                <c:pt idx="14">
                  <c:v>5128.1400000000003</c:v>
                </c:pt>
                <c:pt idx="15">
                  <c:v>43692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1765.29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EF-4EC2-9D3F-569DD28F0F79}"/>
            </c:ext>
          </c:extLst>
        </c:ser>
        <c:ser>
          <c:idx val="7"/>
          <c:order val="7"/>
          <c:tx>
            <c:strRef>
              <c:f>[1]INGRESOS!$A$29</c:f>
              <c:strCache>
                <c:ptCount val="1"/>
                <c:pt idx="0">
                  <c:v>I.E.P.S. GASOLINA Y DIESEL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[1]INGRESOS!$B$29:$Z$29</c:f>
              <c:numCache>
                <c:formatCode>General</c:formatCode>
                <c:ptCount val="25"/>
                <c:pt idx="0">
                  <c:v>505620.43</c:v>
                </c:pt>
                <c:pt idx="1">
                  <c:v>43482</c:v>
                </c:pt>
                <c:pt idx="2">
                  <c:v>561526.59</c:v>
                </c:pt>
                <c:pt idx="3">
                  <c:v>43511</c:v>
                </c:pt>
                <c:pt idx="4">
                  <c:v>479625.45</c:v>
                </c:pt>
                <c:pt idx="5">
                  <c:v>43539</c:v>
                </c:pt>
                <c:pt idx="6">
                  <c:v>472242.27</c:v>
                </c:pt>
                <c:pt idx="7">
                  <c:v>43570</c:v>
                </c:pt>
                <c:pt idx="8">
                  <c:v>515866.74</c:v>
                </c:pt>
                <c:pt idx="9">
                  <c:v>43600</c:v>
                </c:pt>
                <c:pt idx="10">
                  <c:v>520901.83</c:v>
                </c:pt>
                <c:pt idx="11">
                  <c:v>43630</c:v>
                </c:pt>
                <c:pt idx="12">
                  <c:v>538584.13</c:v>
                </c:pt>
                <c:pt idx="13">
                  <c:v>43661</c:v>
                </c:pt>
                <c:pt idx="14">
                  <c:v>473136.45</c:v>
                </c:pt>
                <c:pt idx="15">
                  <c:v>43693</c:v>
                </c:pt>
                <c:pt idx="16">
                  <c:v>506046.43</c:v>
                </c:pt>
                <c:pt idx="17">
                  <c:v>43721</c:v>
                </c:pt>
                <c:pt idx="18">
                  <c:v>468262.06</c:v>
                </c:pt>
                <c:pt idx="19">
                  <c:v>0</c:v>
                </c:pt>
                <c:pt idx="20">
                  <c:v>406445.66</c:v>
                </c:pt>
                <c:pt idx="21">
                  <c:v>0</c:v>
                </c:pt>
                <c:pt idx="22">
                  <c:v>460728.57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F-4EC2-9D3F-569DD28F0F79}"/>
            </c:ext>
          </c:extLst>
        </c:ser>
        <c:ser>
          <c:idx val="8"/>
          <c:order val="8"/>
          <c:tx>
            <c:strRef>
              <c:f>[1]INGRESOS!$A$30</c:f>
              <c:strCache>
                <c:ptCount val="1"/>
                <c:pt idx="0">
                  <c:v>FONDO DE COMPEN. DE I.S.A.N.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[1]INGRESOS!$B$30:$Z$30</c:f>
              <c:numCache>
                <c:formatCode>General</c:formatCode>
                <c:ptCount val="25"/>
                <c:pt idx="0">
                  <c:v>51962.12</c:v>
                </c:pt>
                <c:pt idx="1">
                  <c:v>43494</c:v>
                </c:pt>
                <c:pt idx="2">
                  <c:v>51962.12</c:v>
                </c:pt>
                <c:pt idx="3">
                  <c:v>43521</c:v>
                </c:pt>
                <c:pt idx="4">
                  <c:v>51962.12</c:v>
                </c:pt>
                <c:pt idx="5">
                  <c:v>43549</c:v>
                </c:pt>
                <c:pt idx="6">
                  <c:v>51962.12</c:v>
                </c:pt>
                <c:pt idx="7">
                  <c:v>43580</c:v>
                </c:pt>
                <c:pt idx="8">
                  <c:v>51962.12</c:v>
                </c:pt>
                <c:pt idx="9">
                  <c:v>43609</c:v>
                </c:pt>
                <c:pt idx="10">
                  <c:v>51962.12</c:v>
                </c:pt>
                <c:pt idx="11">
                  <c:v>43640</c:v>
                </c:pt>
                <c:pt idx="12">
                  <c:v>51962.12</c:v>
                </c:pt>
                <c:pt idx="13">
                  <c:v>43668</c:v>
                </c:pt>
                <c:pt idx="14">
                  <c:v>51962.12</c:v>
                </c:pt>
                <c:pt idx="15">
                  <c:v>43700</c:v>
                </c:pt>
                <c:pt idx="16">
                  <c:v>51962.12</c:v>
                </c:pt>
                <c:pt idx="17">
                  <c:v>43733</c:v>
                </c:pt>
                <c:pt idx="18">
                  <c:v>51962.12</c:v>
                </c:pt>
                <c:pt idx="19">
                  <c:v>0</c:v>
                </c:pt>
                <c:pt idx="20">
                  <c:v>51962.12</c:v>
                </c:pt>
                <c:pt idx="21">
                  <c:v>0</c:v>
                </c:pt>
                <c:pt idx="22">
                  <c:v>51962.12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EF-4EC2-9D3F-569DD28F0F79}"/>
            </c:ext>
          </c:extLst>
        </c:ser>
        <c:ser>
          <c:idx val="9"/>
          <c:order val="9"/>
          <c:tx>
            <c:strRef>
              <c:f>[1]INGRESOS!$A$32</c:f>
              <c:strCache>
                <c:ptCount val="1"/>
                <c:pt idx="0">
                  <c:v>I.S.R. SEGÚN ARTICULO 3°B DE LA LEY DE COOR.FISCAL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[1]INGRESOS!$B$32:$Z$32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10131</c:v>
                </c:pt>
                <c:pt idx="3">
                  <c:v>43501</c:v>
                </c:pt>
                <c:pt idx="4">
                  <c:v>4526</c:v>
                </c:pt>
                <c:pt idx="5">
                  <c:v>43528</c:v>
                </c:pt>
                <c:pt idx="6">
                  <c:v>16551</c:v>
                </c:pt>
                <c:pt idx="7">
                  <c:v>43557</c:v>
                </c:pt>
                <c:pt idx="8">
                  <c:v>4504155</c:v>
                </c:pt>
                <c:pt idx="9">
                  <c:v>43588</c:v>
                </c:pt>
                <c:pt idx="10">
                  <c:v>3758705</c:v>
                </c:pt>
                <c:pt idx="11">
                  <c:v>43622</c:v>
                </c:pt>
                <c:pt idx="12">
                  <c:v>2649093</c:v>
                </c:pt>
                <c:pt idx="13">
                  <c:v>43649</c:v>
                </c:pt>
                <c:pt idx="14">
                  <c:v>0</c:v>
                </c:pt>
                <c:pt idx="15">
                  <c:v>0</c:v>
                </c:pt>
                <c:pt idx="16">
                  <c:v>2059</c:v>
                </c:pt>
                <c:pt idx="17">
                  <c:v>43710</c:v>
                </c:pt>
                <c:pt idx="18">
                  <c:v>5505955</c:v>
                </c:pt>
                <c:pt idx="19">
                  <c:v>0</c:v>
                </c:pt>
                <c:pt idx="20">
                  <c:v>3882263</c:v>
                </c:pt>
                <c:pt idx="21">
                  <c:v>0</c:v>
                </c:pt>
                <c:pt idx="22">
                  <c:v>1776651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EF-4EC2-9D3F-569DD28F0F79}"/>
            </c:ext>
          </c:extLst>
        </c:ser>
        <c:ser>
          <c:idx val="10"/>
          <c:order val="10"/>
          <c:tx>
            <c:strRef>
              <c:f>[1]INGRESOS!$A$34</c:f>
              <c:strCache>
                <c:ptCount val="1"/>
                <c:pt idx="0">
                  <c:v>FORTALECIMIENTO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[1]INGRESOS!$B$34:$Z$34</c:f>
              <c:numCache>
                <c:formatCode>General</c:formatCode>
                <c:ptCount val="25"/>
                <c:pt idx="0">
                  <c:v>10635720.199999999</c:v>
                </c:pt>
                <c:pt idx="1">
                  <c:v>43501</c:v>
                </c:pt>
                <c:pt idx="2">
                  <c:v>10635720.199999999</c:v>
                </c:pt>
                <c:pt idx="3">
                  <c:v>43524</c:v>
                </c:pt>
                <c:pt idx="4">
                  <c:v>10635720.199999999</c:v>
                </c:pt>
                <c:pt idx="5">
                  <c:v>43553</c:v>
                </c:pt>
                <c:pt idx="6">
                  <c:v>10635720.199999999</c:v>
                </c:pt>
                <c:pt idx="7">
                  <c:v>43585</c:v>
                </c:pt>
                <c:pt idx="8">
                  <c:v>10635720.199999999</c:v>
                </c:pt>
                <c:pt idx="9">
                  <c:v>43616</c:v>
                </c:pt>
                <c:pt idx="10">
                  <c:v>10635720.199999999</c:v>
                </c:pt>
                <c:pt idx="11">
                  <c:v>43644</c:v>
                </c:pt>
                <c:pt idx="12">
                  <c:v>10635720.199999999</c:v>
                </c:pt>
                <c:pt idx="13">
                  <c:v>43677</c:v>
                </c:pt>
                <c:pt idx="14">
                  <c:v>10635720.199999999</c:v>
                </c:pt>
                <c:pt idx="15">
                  <c:v>43707</c:v>
                </c:pt>
                <c:pt idx="16">
                  <c:v>10635720.199999999</c:v>
                </c:pt>
                <c:pt idx="17">
                  <c:v>43738</c:v>
                </c:pt>
                <c:pt idx="18">
                  <c:v>10635720.199999999</c:v>
                </c:pt>
                <c:pt idx="19">
                  <c:v>43769</c:v>
                </c:pt>
                <c:pt idx="20">
                  <c:v>10635720.199999999</c:v>
                </c:pt>
                <c:pt idx="21">
                  <c:v>43799</c:v>
                </c:pt>
                <c:pt idx="22">
                  <c:v>10635720.16</c:v>
                </c:pt>
                <c:pt idx="23">
                  <c:v>0</c:v>
                </c:pt>
                <c:pt idx="24">
                  <c:v>127628642.36000001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EF-4EC2-9D3F-569DD28F0F79}"/>
            </c:ext>
          </c:extLst>
        </c:ser>
        <c:ser>
          <c:idx val="11"/>
          <c:order val="11"/>
          <c:tx>
            <c:strRef>
              <c:f>[1]INGRESOS!$A$35</c:f>
              <c:strCache>
                <c:ptCount val="1"/>
                <c:pt idx="0">
                  <c:v>INFRAESTRUCTURA SOCIAL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[1]INGRESOS!$B$35:$Z$35</c:f>
              <c:numCache>
                <c:formatCode>General</c:formatCode>
                <c:ptCount val="25"/>
                <c:pt idx="0">
                  <c:v>2705850.5</c:v>
                </c:pt>
                <c:pt idx="1">
                  <c:v>43501</c:v>
                </c:pt>
                <c:pt idx="2">
                  <c:v>2705850.5</c:v>
                </c:pt>
                <c:pt idx="3">
                  <c:v>43524</c:v>
                </c:pt>
                <c:pt idx="4">
                  <c:v>2705850.5</c:v>
                </c:pt>
                <c:pt idx="5">
                  <c:v>43553</c:v>
                </c:pt>
                <c:pt idx="6">
                  <c:v>2705850.5</c:v>
                </c:pt>
                <c:pt idx="7">
                  <c:v>43585</c:v>
                </c:pt>
                <c:pt idx="8">
                  <c:v>2705850.5</c:v>
                </c:pt>
                <c:pt idx="9">
                  <c:v>43616</c:v>
                </c:pt>
                <c:pt idx="10">
                  <c:v>2705850.5</c:v>
                </c:pt>
                <c:pt idx="11">
                  <c:v>43644</c:v>
                </c:pt>
                <c:pt idx="12">
                  <c:v>2705850.5</c:v>
                </c:pt>
                <c:pt idx="13">
                  <c:v>43677</c:v>
                </c:pt>
                <c:pt idx="14">
                  <c:v>2705850.5</c:v>
                </c:pt>
                <c:pt idx="15">
                  <c:v>43707</c:v>
                </c:pt>
                <c:pt idx="16">
                  <c:v>2705850.5</c:v>
                </c:pt>
                <c:pt idx="17">
                  <c:v>43738</c:v>
                </c:pt>
                <c:pt idx="18">
                  <c:v>2705850.74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27058505.240000002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EF-4EC2-9D3F-569DD28F0F79}"/>
            </c:ext>
          </c:extLst>
        </c:ser>
        <c:ser>
          <c:idx val="12"/>
          <c:order val="12"/>
          <c:tx>
            <c:strRef>
              <c:f>[1]INGRESOS!$A$36</c:f>
              <c:strCache>
                <c:ptCount val="1"/>
                <c:pt idx="0">
                  <c:v>PRODUCTOS FINANCIEROS FORTALECIMIENTO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[1]INGRESOS!$B$36:$Z$36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12022.45</c:v>
                </c:pt>
                <c:pt idx="5">
                  <c:v>43551</c:v>
                </c:pt>
                <c:pt idx="6">
                  <c:v>66.569999999999993</c:v>
                </c:pt>
                <c:pt idx="7">
                  <c:v>43577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12089.02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EF-4EC2-9D3F-569DD28F0F79}"/>
            </c:ext>
          </c:extLst>
        </c:ser>
        <c:ser>
          <c:idx val="13"/>
          <c:order val="13"/>
          <c:tx>
            <c:strRef>
              <c:f>[1]INGRESOS!$A$37</c:f>
              <c:strCache>
                <c:ptCount val="1"/>
                <c:pt idx="0">
                  <c:v>PRODUCTOS FINANCIEROS INFRAESTRUCTURA SOCIAL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[1]INGRESOS!$B$37:$Z$37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2923.62</c:v>
                </c:pt>
                <c:pt idx="5">
                  <c:v>43551</c:v>
                </c:pt>
                <c:pt idx="6">
                  <c:v>3.12</c:v>
                </c:pt>
                <c:pt idx="7">
                  <c:v>43577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954.42</c:v>
                </c:pt>
                <c:pt idx="21">
                  <c:v>0</c:v>
                </c:pt>
                <c:pt idx="22">
                  <c:v>25.23</c:v>
                </c:pt>
                <c:pt idx="23">
                  <c:v>0</c:v>
                </c:pt>
                <c:pt idx="24">
                  <c:v>3906.39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DEF-4EC2-9D3F-569DD28F0F79}"/>
            </c:ext>
          </c:extLst>
        </c:ser>
        <c:ser>
          <c:idx val="14"/>
          <c:order val="14"/>
          <c:tx>
            <c:strRef>
              <c:f>[1]INGRESOS!$A$43</c:f>
              <c:strCache>
                <c:ptCount val="1"/>
                <c:pt idx="0">
                  <c:v>INGRESOS PROPIOS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[1]INGRESOS!$B$43:$Z$43</c:f>
              <c:numCache>
                <c:formatCode>General</c:formatCode>
                <c:ptCount val="25"/>
                <c:pt idx="0">
                  <c:v>30952281.84</c:v>
                </c:pt>
                <c:pt idx="1">
                  <c:v>0</c:v>
                </c:pt>
                <c:pt idx="2">
                  <c:v>34701961.539999999</c:v>
                </c:pt>
                <c:pt idx="3">
                  <c:v>0</c:v>
                </c:pt>
                <c:pt idx="4">
                  <c:v>15141730.379999999</c:v>
                </c:pt>
                <c:pt idx="5">
                  <c:v>0</c:v>
                </c:pt>
                <c:pt idx="6">
                  <c:v>10090693.439999999</c:v>
                </c:pt>
                <c:pt idx="7">
                  <c:v>0</c:v>
                </c:pt>
                <c:pt idx="8">
                  <c:v>10775658.83</c:v>
                </c:pt>
                <c:pt idx="9">
                  <c:v>0</c:v>
                </c:pt>
                <c:pt idx="10">
                  <c:v>9522090.3900000006</c:v>
                </c:pt>
                <c:pt idx="11">
                  <c:v>0</c:v>
                </c:pt>
                <c:pt idx="12">
                  <c:v>11590331.43</c:v>
                </c:pt>
                <c:pt idx="13">
                  <c:v>0</c:v>
                </c:pt>
                <c:pt idx="14">
                  <c:v>8745573.4600000009</c:v>
                </c:pt>
                <c:pt idx="15">
                  <c:v>0</c:v>
                </c:pt>
                <c:pt idx="16">
                  <c:v>6858910.5899999999</c:v>
                </c:pt>
                <c:pt idx="17">
                  <c:v>0</c:v>
                </c:pt>
                <c:pt idx="18">
                  <c:v>20258052.800000001</c:v>
                </c:pt>
                <c:pt idx="19">
                  <c:v>0</c:v>
                </c:pt>
                <c:pt idx="20">
                  <c:v>9610051.6400000006</c:v>
                </c:pt>
                <c:pt idx="21">
                  <c:v>0</c:v>
                </c:pt>
                <c:pt idx="22">
                  <c:v>11268277.279999999</c:v>
                </c:pt>
                <c:pt idx="23">
                  <c:v>0</c:v>
                </c:pt>
                <c:pt idx="24">
                  <c:v>179515613.62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EF-4EC2-9D3F-569DD28F0F79}"/>
            </c:ext>
          </c:extLst>
        </c:ser>
        <c:ser>
          <c:idx val="15"/>
          <c:order val="15"/>
          <c:tx>
            <c:strRef>
              <c:f>[1]INGRESOS!$A$44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[1]INGRESOS!$B$44:$Z$44</c:f>
              <c:numCache>
                <c:formatCode>General</c:formatCode>
                <c:ptCount val="25"/>
                <c:pt idx="0">
                  <c:v>60916924.310000002</c:v>
                </c:pt>
                <c:pt idx="1">
                  <c:v>0</c:v>
                </c:pt>
                <c:pt idx="2">
                  <c:v>70915462.5</c:v>
                </c:pt>
                <c:pt idx="3">
                  <c:v>0</c:v>
                </c:pt>
                <c:pt idx="4">
                  <c:v>49274819.859999999</c:v>
                </c:pt>
                <c:pt idx="5">
                  <c:v>0</c:v>
                </c:pt>
                <c:pt idx="6">
                  <c:v>47993882.939999998</c:v>
                </c:pt>
                <c:pt idx="7">
                  <c:v>0</c:v>
                </c:pt>
                <c:pt idx="8">
                  <c:v>53030630.32</c:v>
                </c:pt>
                <c:pt idx="9">
                  <c:v>0</c:v>
                </c:pt>
                <c:pt idx="10">
                  <c:v>47661924.870000005</c:v>
                </c:pt>
                <c:pt idx="11">
                  <c:v>0</c:v>
                </c:pt>
                <c:pt idx="12">
                  <c:v>53470274.280000001</c:v>
                </c:pt>
                <c:pt idx="13">
                  <c:v>0</c:v>
                </c:pt>
                <c:pt idx="14">
                  <c:v>39171803.229999997</c:v>
                </c:pt>
                <c:pt idx="15">
                  <c:v>0</c:v>
                </c:pt>
                <c:pt idx="16">
                  <c:v>43830919.18</c:v>
                </c:pt>
                <c:pt idx="17">
                  <c:v>0</c:v>
                </c:pt>
                <c:pt idx="18">
                  <c:v>61584930.229999997</c:v>
                </c:pt>
                <c:pt idx="19">
                  <c:v>0</c:v>
                </c:pt>
                <c:pt idx="20">
                  <c:v>45576194.5</c:v>
                </c:pt>
                <c:pt idx="21">
                  <c:v>0</c:v>
                </c:pt>
                <c:pt idx="22">
                  <c:v>55013428.090000004</c:v>
                </c:pt>
                <c:pt idx="23">
                  <c:v>0</c:v>
                </c:pt>
                <c:pt idx="24">
                  <c:v>628441194.31000006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F-4EC2-9D3F-569DD28F0F79}"/>
            </c:ext>
          </c:extLst>
        </c:ser>
        <c:ser>
          <c:idx val="16"/>
          <c:order val="16"/>
          <c:tx>
            <c:strRef>
              <c:f>[1]INGRESOS!$A$45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[1]INGRESOS!$B$45:$Z$45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EF-4EC2-9D3F-569DD28F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1307034720"/>
        <c:axId val="-1307039072"/>
        <c:axId val="0"/>
      </c:bar3DChart>
      <c:catAx>
        <c:axId val="-130703472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MESES</a:t>
                </a:r>
                <a:r>
                  <a:rPr lang="es-MX" baseline="0"/>
                  <a:t> DEL AÑO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1307039072"/>
        <c:crosses val="autoZero"/>
        <c:auto val="1"/>
        <c:lblAlgn val="ctr"/>
        <c:lblOffset val="100"/>
        <c:noMultiLvlLbl val="0"/>
      </c:catAx>
      <c:valAx>
        <c:axId val="-1307039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CONCEPTO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130703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176290463692023E-2"/>
          <c:y val="0.60937007874015758"/>
          <c:w val="0.89364720034995615"/>
          <c:h val="0.37211140274132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INGRESOS ENERO-AGOSTO</a:t>
            </a:r>
            <a:r>
              <a:rPr lang="es-MX" baseline="0"/>
              <a:t>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79177602799651E-2"/>
          <c:y val="0.17171296296296298"/>
          <c:w val="0.89665266841644797"/>
          <c:h val="0.330226377952756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[1]INGRESOS!$A$2</c:f>
              <c:strCache>
                <c:ptCount val="1"/>
                <c:pt idx="0">
                  <c:v>FECHAS DE LA ENTREGA DE PARTICIPACIONES DE ENERO A DICIEMBRE 2019 AL MUNICIPIO DE EL SALTO, JAL.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[1]INGRESOS!$B$2:$Z$2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43-44DE-8B71-58EEE06D988F}"/>
            </c:ext>
          </c:extLst>
        </c:ser>
        <c:ser>
          <c:idx val="1"/>
          <c:order val="1"/>
          <c:tx>
            <c:strRef>
              <c:f>[1]INGRESOS!$A$3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[1]INGRESOS!$B$3:$Z$3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3-44DE-8B71-58EEE06D988F}"/>
            </c:ext>
          </c:extLst>
        </c:ser>
        <c:ser>
          <c:idx val="2"/>
          <c:order val="2"/>
          <c:tx>
            <c:strRef>
              <c:f>[1]INGRESOS!$A$4</c:f>
              <c:strCache>
                <c:ptCount val="1"/>
                <c:pt idx="0">
                  <c:v>CONCEPTO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[1]INGRESOS!$B$4:$Z$4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3-44DE-8B71-58EEE06D988F}"/>
            </c:ext>
          </c:extLst>
        </c:ser>
        <c:ser>
          <c:idx val="3"/>
          <c:order val="3"/>
          <c:tx>
            <c:strRef>
              <c:f>[1]INGRESOS!$A$5</c:f>
              <c:strCache>
                <c:ptCount val="1"/>
                <c:pt idx="0">
                  <c:v>SUMA PARTICPACIONES EST. Y FED.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[1]INGRESOS!$B$5:$Z$5</c:f>
              <c:numCache>
                <c:formatCode>General</c:formatCode>
                <c:ptCount val="25"/>
                <c:pt idx="0">
                  <c:v>15311700.279999999</c:v>
                </c:pt>
                <c:pt idx="1">
                  <c:v>43480</c:v>
                </c:pt>
                <c:pt idx="2">
                  <c:v>21056466.16</c:v>
                </c:pt>
                <c:pt idx="3">
                  <c:v>43511</c:v>
                </c:pt>
                <c:pt idx="4">
                  <c:v>19503266.77</c:v>
                </c:pt>
                <c:pt idx="5">
                  <c:v>43539</c:v>
                </c:pt>
                <c:pt idx="6">
                  <c:v>16188165.649999999</c:v>
                </c:pt>
                <c:pt idx="7">
                  <c:v>43570</c:v>
                </c:pt>
                <c:pt idx="8">
                  <c:v>22550318.969999999</c:v>
                </c:pt>
                <c:pt idx="9">
                  <c:v>43600</c:v>
                </c:pt>
                <c:pt idx="10">
                  <c:v>19509394.98</c:v>
                </c:pt>
                <c:pt idx="11">
                  <c:v>43630</c:v>
                </c:pt>
                <c:pt idx="12">
                  <c:v>22941752.259999998</c:v>
                </c:pt>
                <c:pt idx="13">
                  <c:v>43661</c:v>
                </c:pt>
                <c:pt idx="14">
                  <c:v>15445630.269999998</c:v>
                </c:pt>
                <c:pt idx="15">
                  <c:v>43692</c:v>
                </c:pt>
                <c:pt idx="16">
                  <c:v>16101619.550000001</c:v>
                </c:pt>
                <c:pt idx="17">
                  <c:v>0</c:v>
                </c:pt>
                <c:pt idx="18">
                  <c:v>16687416.210000001</c:v>
                </c:pt>
                <c:pt idx="19">
                  <c:v>0</c:v>
                </c:pt>
                <c:pt idx="20">
                  <c:v>17622925.68</c:v>
                </c:pt>
                <c:pt idx="21">
                  <c:v>0</c:v>
                </c:pt>
                <c:pt idx="22">
                  <c:v>23972593.41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43-44DE-8B71-58EEE06D988F}"/>
            </c:ext>
          </c:extLst>
        </c:ser>
        <c:ser>
          <c:idx val="4"/>
          <c:order val="4"/>
          <c:tx>
            <c:strRef>
              <c:f>[1]INGRESOS!$A$26</c:f>
              <c:strCache>
                <c:ptCount val="1"/>
                <c:pt idx="0">
                  <c:v>FONDO DE FISCALIZACION Y RECAUDACION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[1]INGRESOS!$B$26:$Z$26</c:f>
              <c:numCache>
                <c:formatCode>General</c:formatCode>
                <c:ptCount val="25"/>
                <c:pt idx="0">
                  <c:v>753788.94</c:v>
                </c:pt>
                <c:pt idx="1">
                  <c:v>43494</c:v>
                </c:pt>
                <c:pt idx="2">
                  <c:v>1191844.3899999999</c:v>
                </c:pt>
                <c:pt idx="3">
                  <c:v>43521</c:v>
                </c:pt>
                <c:pt idx="4">
                  <c:v>0</c:v>
                </c:pt>
                <c:pt idx="5">
                  <c:v>0</c:v>
                </c:pt>
                <c:pt idx="6">
                  <c:v>1140371.17</c:v>
                </c:pt>
                <c:pt idx="7">
                  <c:v>43585</c:v>
                </c:pt>
                <c:pt idx="8">
                  <c:v>1288452.8500000001</c:v>
                </c:pt>
                <c:pt idx="9">
                  <c:v>43616</c:v>
                </c:pt>
                <c:pt idx="10">
                  <c:v>954089.68</c:v>
                </c:pt>
                <c:pt idx="11">
                  <c:v>43642</c:v>
                </c:pt>
                <c:pt idx="12">
                  <c:v>1622896.13</c:v>
                </c:pt>
                <c:pt idx="13">
                  <c:v>43676</c:v>
                </c:pt>
                <c:pt idx="14">
                  <c:v>1108802.0900000001</c:v>
                </c:pt>
                <c:pt idx="15">
                  <c:v>43703</c:v>
                </c:pt>
                <c:pt idx="16">
                  <c:v>1150311.42</c:v>
                </c:pt>
                <c:pt idx="17">
                  <c:v>43733</c:v>
                </c:pt>
                <c:pt idx="18">
                  <c:v>1114131.74</c:v>
                </c:pt>
                <c:pt idx="19">
                  <c:v>0</c:v>
                </c:pt>
                <c:pt idx="20">
                  <c:v>898923.09</c:v>
                </c:pt>
                <c:pt idx="21">
                  <c:v>0</c:v>
                </c:pt>
                <c:pt idx="22">
                  <c:v>1132771.33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3-44DE-8B71-58EEE06D988F}"/>
            </c:ext>
          </c:extLst>
        </c:ser>
        <c:ser>
          <c:idx val="5"/>
          <c:order val="5"/>
          <c:tx>
            <c:strRef>
              <c:f>[1]INGRESOS!$A$27</c:f>
              <c:strCache>
                <c:ptCount val="1"/>
                <c:pt idx="0">
                  <c:v>FONDO DE FISCALIZA. AL 40% Y 60%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[1]INGRESOS!$B$27:$Z$27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737192.37</c:v>
                </c:pt>
                <c:pt idx="5">
                  <c:v>43549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43-44DE-8B71-58EEE06D988F}"/>
            </c:ext>
          </c:extLst>
        </c:ser>
        <c:ser>
          <c:idx val="6"/>
          <c:order val="6"/>
          <c:tx>
            <c:strRef>
              <c:f>[1]INGRESOS!$A$28</c:f>
              <c:strCache>
                <c:ptCount val="1"/>
                <c:pt idx="0">
                  <c:v>I.E.P.S. GASOLINA Y DIESEL HASTA 2013 Y ACTOS DE FISCALIZACION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[1]INGRESOS!$B$28:$Z$28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2645.11</c:v>
                </c:pt>
                <c:pt idx="9">
                  <c:v>43598</c:v>
                </c:pt>
                <c:pt idx="10">
                  <c:v>3210.17</c:v>
                </c:pt>
                <c:pt idx="11">
                  <c:v>43630</c:v>
                </c:pt>
                <c:pt idx="12">
                  <c:v>0</c:v>
                </c:pt>
                <c:pt idx="13">
                  <c:v>0</c:v>
                </c:pt>
                <c:pt idx="14">
                  <c:v>5128.1400000000003</c:v>
                </c:pt>
                <c:pt idx="15">
                  <c:v>43692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1765.29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43-44DE-8B71-58EEE06D988F}"/>
            </c:ext>
          </c:extLst>
        </c:ser>
        <c:ser>
          <c:idx val="7"/>
          <c:order val="7"/>
          <c:tx>
            <c:strRef>
              <c:f>[1]INGRESOS!$A$29</c:f>
              <c:strCache>
                <c:ptCount val="1"/>
                <c:pt idx="0">
                  <c:v>I.E.P.S. GASOLINA Y DIESEL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[1]INGRESOS!$B$29:$Z$29</c:f>
              <c:numCache>
                <c:formatCode>General</c:formatCode>
                <c:ptCount val="25"/>
                <c:pt idx="0">
                  <c:v>505620.43</c:v>
                </c:pt>
                <c:pt idx="1">
                  <c:v>43482</c:v>
                </c:pt>
                <c:pt idx="2">
                  <c:v>561526.59</c:v>
                </c:pt>
                <c:pt idx="3">
                  <c:v>43511</c:v>
                </c:pt>
                <c:pt idx="4">
                  <c:v>479625.45</c:v>
                </c:pt>
                <c:pt idx="5">
                  <c:v>43539</c:v>
                </c:pt>
                <c:pt idx="6">
                  <c:v>472242.27</c:v>
                </c:pt>
                <c:pt idx="7">
                  <c:v>43570</c:v>
                </c:pt>
                <c:pt idx="8">
                  <c:v>515866.74</c:v>
                </c:pt>
                <c:pt idx="9">
                  <c:v>43600</c:v>
                </c:pt>
                <c:pt idx="10">
                  <c:v>520901.83</c:v>
                </c:pt>
                <c:pt idx="11">
                  <c:v>43630</c:v>
                </c:pt>
                <c:pt idx="12">
                  <c:v>538584.13</c:v>
                </c:pt>
                <c:pt idx="13">
                  <c:v>43661</c:v>
                </c:pt>
                <c:pt idx="14">
                  <c:v>473136.45</c:v>
                </c:pt>
                <c:pt idx="15">
                  <c:v>43693</c:v>
                </c:pt>
                <c:pt idx="16">
                  <c:v>506046.43</c:v>
                </c:pt>
                <c:pt idx="17">
                  <c:v>43721</c:v>
                </c:pt>
                <c:pt idx="18">
                  <c:v>468262.06</c:v>
                </c:pt>
                <c:pt idx="19">
                  <c:v>0</c:v>
                </c:pt>
                <c:pt idx="20">
                  <c:v>406445.66</c:v>
                </c:pt>
                <c:pt idx="21">
                  <c:v>0</c:v>
                </c:pt>
                <c:pt idx="22">
                  <c:v>460728.57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43-44DE-8B71-58EEE06D988F}"/>
            </c:ext>
          </c:extLst>
        </c:ser>
        <c:ser>
          <c:idx val="8"/>
          <c:order val="8"/>
          <c:tx>
            <c:strRef>
              <c:f>[1]INGRESOS!$A$30</c:f>
              <c:strCache>
                <c:ptCount val="1"/>
                <c:pt idx="0">
                  <c:v>FONDO DE COMPEN. DE I.S.A.N.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[1]INGRESOS!$B$30:$Z$30</c:f>
              <c:numCache>
                <c:formatCode>General</c:formatCode>
                <c:ptCount val="25"/>
                <c:pt idx="0">
                  <c:v>51962.12</c:v>
                </c:pt>
                <c:pt idx="1">
                  <c:v>43494</c:v>
                </c:pt>
                <c:pt idx="2">
                  <c:v>51962.12</c:v>
                </c:pt>
                <c:pt idx="3">
                  <c:v>43521</c:v>
                </c:pt>
                <c:pt idx="4">
                  <c:v>51962.12</c:v>
                </c:pt>
                <c:pt idx="5">
                  <c:v>43549</c:v>
                </c:pt>
                <c:pt idx="6">
                  <c:v>51962.12</c:v>
                </c:pt>
                <c:pt idx="7">
                  <c:v>43580</c:v>
                </c:pt>
                <c:pt idx="8">
                  <c:v>51962.12</c:v>
                </c:pt>
                <c:pt idx="9">
                  <c:v>43609</c:v>
                </c:pt>
                <c:pt idx="10">
                  <c:v>51962.12</c:v>
                </c:pt>
                <c:pt idx="11">
                  <c:v>43640</c:v>
                </c:pt>
                <c:pt idx="12">
                  <c:v>51962.12</c:v>
                </c:pt>
                <c:pt idx="13">
                  <c:v>43668</c:v>
                </c:pt>
                <c:pt idx="14">
                  <c:v>51962.12</c:v>
                </c:pt>
                <c:pt idx="15">
                  <c:v>43700</c:v>
                </c:pt>
                <c:pt idx="16">
                  <c:v>51962.12</c:v>
                </c:pt>
                <c:pt idx="17">
                  <c:v>43733</c:v>
                </c:pt>
                <c:pt idx="18">
                  <c:v>51962.12</c:v>
                </c:pt>
                <c:pt idx="19">
                  <c:v>0</c:v>
                </c:pt>
                <c:pt idx="20">
                  <c:v>51962.12</c:v>
                </c:pt>
                <c:pt idx="21">
                  <c:v>0</c:v>
                </c:pt>
                <c:pt idx="22">
                  <c:v>51962.12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43-44DE-8B71-58EEE06D988F}"/>
            </c:ext>
          </c:extLst>
        </c:ser>
        <c:ser>
          <c:idx val="9"/>
          <c:order val="9"/>
          <c:tx>
            <c:strRef>
              <c:f>[1]INGRESOS!$A$32</c:f>
              <c:strCache>
                <c:ptCount val="1"/>
                <c:pt idx="0">
                  <c:v>I.S.R. SEGÚN ARTICULO 3°B DE LA LEY DE COOR.FISCAL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[1]INGRESOS!$B$32:$Z$32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10131</c:v>
                </c:pt>
                <c:pt idx="3">
                  <c:v>43501</c:v>
                </c:pt>
                <c:pt idx="4">
                  <c:v>4526</c:v>
                </c:pt>
                <c:pt idx="5">
                  <c:v>43528</c:v>
                </c:pt>
                <c:pt idx="6">
                  <c:v>16551</c:v>
                </c:pt>
                <c:pt idx="7">
                  <c:v>43557</c:v>
                </c:pt>
                <c:pt idx="8">
                  <c:v>4504155</c:v>
                </c:pt>
                <c:pt idx="9">
                  <c:v>43588</c:v>
                </c:pt>
                <c:pt idx="10">
                  <c:v>3758705</c:v>
                </c:pt>
                <c:pt idx="11">
                  <c:v>43622</c:v>
                </c:pt>
                <c:pt idx="12">
                  <c:v>2649093</c:v>
                </c:pt>
                <c:pt idx="13">
                  <c:v>43649</c:v>
                </c:pt>
                <c:pt idx="14">
                  <c:v>0</c:v>
                </c:pt>
                <c:pt idx="15">
                  <c:v>0</c:v>
                </c:pt>
                <c:pt idx="16">
                  <c:v>2059</c:v>
                </c:pt>
                <c:pt idx="17">
                  <c:v>43710</c:v>
                </c:pt>
                <c:pt idx="18">
                  <c:v>5505955</c:v>
                </c:pt>
                <c:pt idx="19">
                  <c:v>0</c:v>
                </c:pt>
                <c:pt idx="20">
                  <c:v>3882263</c:v>
                </c:pt>
                <c:pt idx="21">
                  <c:v>0</c:v>
                </c:pt>
                <c:pt idx="22">
                  <c:v>1776651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43-44DE-8B71-58EEE06D988F}"/>
            </c:ext>
          </c:extLst>
        </c:ser>
        <c:ser>
          <c:idx val="10"/>
          <c:order val="10"/>
          <c:tx>
            <c:strRef>
              <c:f>[1]INGRESOS!$A$34</c:f>
              <c:strCache>
                <c:ptCount val="1"/>
                <c:pt idx="0">
                  <c:v>FORTALECIMIENTO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[1]INGRESOS!$B$34:$Z$34</c:f>
              <c:numCache>
                <c:formatCode>General</c:formatCode>
                <c:ptCount val="25"/>
                <c:pt idx="0">
                  <c:v>10635720.199999999</c:v>
                </c:pt>
                <c:pt idx="1">
                  <c:v>43501</c:v>
                </c:pt>
                <c:pt idx="2">
                  <c:v>10635720.199999999</c:v>
                </c:pt>
                <c:pt idx="3">
                  <c:v>43524</c:v>
                </c:pt>
                <c:pt idx="4">
                  <c:v>10635720.199999999</c:v>
                </c:pt>
                <c:pt idx="5">
                  <c:v>43553</c:v>
                </c:pt>
                <c:pt idx="6">
                  <c:v>10635720.199999999</c:v>
                </c:pt>
                <c:pt idx="7">
                  <c:v>43585</c:v>
                </c:pt>
                <c:pt idx="8">
                  <c:v>10635720.199999999</c:v>
                </c:pt>
                <c:pt idx="9">
                  <c:v>43616</c:v>
                </c:pt>
                <c:pt idx="10">
                  <c:v>10635720.199999999</c:v>
                </c:pt>
                <c:pt idx="11">
                  <c:v>43644</c:v>
                </c:pt>
                <c:pt idx="12">
                  <c:v>10635720.199999999</c:v>
                </c:pt>
                <c:pt idx="13">
                  <c:v>43677</c:v>
                </c:pt>
                <c:pt idx="14">
                  <c:v>10635720.199999999</c:v>
                </c:pt>
                <c:pt idx="15">
                  <c:v>43707</c:v>
                </c:pt>
                <c:pt idx="16">
                  <c:v>10635720.199999999</c:v>
                </c:pt>
                <c:pt idx="17">
                  <c:v>43738</c:v>
                </c:pt>
                <c:pt idx="18">
                  <c:v>10635720.199999999</c:v>
                </c:pt>
                <c:pt idx="19">
                  <c:v>43769</c:v>
                </c:pt>
                <c:pt idx="20">
                  <c:v>10635720.199999999</c:v>
                </c:pt>
                <c:pt idx="21">
                  <c:v>43799</c:v>
                </c:pt>
                <c:pt idx="22">
                  <c:v>10635720.16</c:v>
                </c:pt>
                <c:pt idx="23">
                  <c:v>0</c:v>
                </c:pt>
                <c:pt idx="24">
                  <c:v>127628642.36000001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43-44DE-8B71-58EEE06D988F}"/>
            </c:ext>
          </c:extLst>
        </c:ser>
        <c:ser>
          <c:idx val="11"/>
          <c:order val="11"/>
          <c:tx>
            <c:strRef>
              <c:f>[1]INGRESOS!$A$35</c:f>
              <c:strCache>
                <c:ptCount val="1"/>
                <c:pt idx="0">
                  <c:v>INFRAESTRUCTURA SOCIAL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[1]INGRESOS!$B$35:$Z$35</c:f>
              <c:numCache>
                <c:formatCode>General</c:formatCode>
                <c:ptCount val="25"/>
                <c:pt idx="0">
                  <c:v>2705850.5</c:v>
                </c:pt>
                <c:pt idx="1">
                  <c:v>43501</c:v>
                </c:pt>
                <c:pt idx="2">
                  <c:v>2705850.5</c:v>
                </c:pt>
                <c:pt idx="3">
                  <c:v>43524</c:v>
                </c:pt>
                <c:pt idx="4">
                  <c:v>2705850.5</c:v>
                </c:pt>
                <c:pt idx="5">
                  <c:v>43553</c:v>
                </c:pt>
                <c:pt idx="6">
                  <c:v>2705850.5</c:v>
                </c:pt>
                <c:pt idx="7">
                  <c:v>43585</c:v>
                </c:pt>
                <c:pt idx="8">
                  <c:v>2705850.5</c:v>
                </c:pt>
                <c:pt idx="9">
                  <c:v>43616</c:v>
                </c:pt>
                <c:pt idx="10">
                  <c:v>2705850.5</c:v>
                </c:pt>
                <c:pt idx="11">
                  <c:v>43644</c:v>
                </c:pt>
                <c:pt idx="12">
                  <c:v>2705850.5</c:v>
                </c:pt>
                <c:pt idx="13">
                  <c:v>43677</c:v>
                </c:pt>
                <c:pt idx="14">
                  <c:v>2705850.5</c:v>
                </c:pt>
                <c:pt idx="15">
                  <c:v>43707</c:v>
                </c:pt>
                <c:pt idx="16">
                  <c:v>2705850.5</c:v>
                </c:pt>
                <c:pt idx="17">
                  <c:v>43738</c:v>
                </c:pt>
                <c:pt idx="18">
                  <c:v>2705850.74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27058505.240000002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43-44DE-8B71-58EEE06D988F}"/>
            </c:ext>
          </c:extLst>
        </c:ser>
        <c:ser>
          <c:idx val="12"/>
          <c:order val="12"/>
          <c:tx>
            <c:strRef>
              <c:f>[1]INGRESOS!$A$36</c:f>
              <c:strCache>
                <c:ptCount val="1"/>
                <c:pt idx="0">
                  <c:v>PRODUCTOS FINANCIEROS FORTALECIMIENTO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[1]INGRESOS!$B$36:$Z$36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12022.45</c:v>
                </c:pt>
                <c:pt idx="5">
                  <c:v>43551</c:v>
                </c:pt>
                <c:pt idx="6">
                  <c:v>66.569999999999993</c:v>
                </c:pt>
                <c:pt idx="7">
                  <c:v>43577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12089.02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743-44DE-8B71-58EEE06D988F}"/>
            </c:ext>
          </c:extLst>
        </c:ser>
        <c:ser>
          <c:idx val="13"/>
          <c:order val="13"/>
          <c:tx>
            <c:strRef>
              <c:f>[1]INGRESOS!$A$37</c:f>
              <c:strCache>
                <c:ptCount val="1"/>
                <c:pt idx="0">
                  <c:v>PRODUCTOS FINANCIEROS INFRAESTRUCTURA SOCIAL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[1]INGRESOS!$B$37:$Z$37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2923.62</c:v>
                </c:pt>
                <c:pt idx="5">
                  <c:v>43551</c:v>
                </c:pt>
                <c:pt idx="6">
                  <c:v>3.12</c:v>
                </c:pt>
                <c:pt idx="7">
                  <c:v>43577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954.42</c:v>
                </c:pt>
                <c:pt idx="21">
                  <c:v>0</c:v>
                </c:pt>
                <c:pt idx="22">
                  <c:v>25.23</c:v>
                </c:pt>
                <c:pt idx="23">
                  <c:v>0</c:v>
                </c:pt>
                <c:pt idx="24">
                  <c:v>3906.39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43-44DE-8B71-58EEE06D988F}"/>
            </c:ext>
          </c:extLst>
        </c:ser>
        <c:ser>
          <c:idx val="14"/>
          <c:order val="14"/>
          <c:tx>
            <c:strRef>
              <c:f>[1]INGRESOS!$A$43</c:f>
              <c:strCache>
                <c:ptCount val="1"/>
                <c:pt idx="0">
                  <c:v>INGRESOS PROPIOS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[1]INGRESOS!$B$43:$Z$43</c:f>
              <c:numCache>
                <c:formatCode>General</c:formatCode>
                <c:ptCount val="25"/>
                <c:pt idx="0">
                  <c:v>30952281.84</c:v>
                </c:pt>
                <c:pt idx="1">
                  <c:v>0</c:v>
                </c:pt>
                <c:pt idx="2">
                  <c:v>34701961.539999999</c:v>
                </c:pt>
                <c:pt idx="3">
                  <c:v>0</c:v>
                </c:pt>
                <c:pt idx="4">
                  <c:v>15141730.379999999</c:v>
                </c:pt>
                <c:pt idx="5">
                  <c:v>0</c:v>
                </c:pt>
                <c:pt idx="6">
                  <c:v>10090693.439999999</c:v>
                </c:pt>
                <c:pt idx="7">
                  <c:v>0</c:v>
                </c:pt>
                <c:pt idx="8">
                  <c:v>10775658.83</c:v>
                </c:pt>
                <c:pt idx="9">
                  <c:v>0</c:v>
                </c:pt>
                <c:pt idx="10">
                  <c:v>9522090.3900000006</c:v>
                </c:pt>
                <c:pt idx="11">
                  <c:v>0</c:v>
                </c:pt>
                <c:pt idx="12">
                  <c:v>11590331.43</c:v>
                </c:pt>
                <c:pt idx="13">
                  <c:v>0</c:v>
                </c:pt>
                <c:pt idx="14">
                  <c:v>8745573.4600000009</c:v>
                </c:pt>
                <c:pt idx="15">
                  <c:v>0</c:v>
                </c:pt>
                <c:pt idx="16">
                  <c:v>6858910.5899999999</c:v>
                </c:pt>
                <c:pt idx="17">
                  <c:v>0</c:v>
                </c:pt>
                <c:pt idx="18">
                  <c:v>20258052.800000001</c:v>
                </c:pt>
                <c:pt idx="19">
                  <c:v>0</c:v>
                </c:pt>
                <c:pt idx="20">
                  <c:v>9610051.6400000006</c:v>
                </c:pt>
                <c:pt idx="21">
                  <c:v>0</c:v>
                </c:pt>
                <c:pt idx="22">
                  <c:v>11268277.279999999</c:v>
                </c:pt>
                <c:pt idx="23">
                  <c:v>0</c:v>
                </c:pt>
                <c:pt idx="24">
                  <c:v>179515613.62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743-44DE-8B71-58EEE06D988F}"/>
            </c:ext>
          </c:extLst>
        </c:ser>
        <c:ser>
          <c:idx val="15"/>
          <c:order val="15"/>
          <c:tx>
            <c:strRef>
              <c:f>[1]INGRESOS!$A$44</c:f>
              <c:strCache>
                <c:ptCount val="1"/>
                <c:pt idx="0">
                  <c:v>TOTALES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[1]INGRESOS!$B$44:$Z$44</c:f>
              <c:numCache>
                <c:formatCode>General</c:formatCode>
                <c:ptCount val="25"/>
                <c:pt idx="0">
                  <c:v>60916924.310000002</c:v>
                </c:pt>
                <c:pt idx="1">
                  <c:v>0</c:v>
                </c:pt>
                <c:pt idx="2">
                  <c:v>70915462.5</c:v>
                </c:pt>
                <c:pt idx="3">
                  <c:v>0</c:v>
                </c:pt>
                <c:pt idx="4">
                  <c:v>49274819.859999999</c:v>
                </c:pt>
                <c:pt idx="5">
                  <c:v>0</c:v>
                </c:pt>
                <c:pt idx="6">
                  <c:v>47993882.939999998</c:v>
                </c:pt>
                <c:pt idx="7">
                  <c:v>0</c:v>
                </c:pt>
                <c:pt idx="8">
                  <c:v>53030630.32</c:v>
                </c:pt>
                <c:pt idx="9">
                  <c:v>0</c:v>
                </c:pt>
                <c:pt idx="10">
                  <c:v>47661924.870000005</c:v>
                </c:pt>
                <c:pt idx="11">
                  <c:v>0</c:v>
                </c:pt>
                <c:pt idx="12">
                  <c:v>53470274.280000001</c:v>
                </c:pt>
                <c:pt idx="13">
                  <c:v>0</c:v>
                </c:pt>
                <c:pt idx="14">
                  <c:v>39171803.229999997</c:v>
                </c:pt>
                <c:pt idx="15">
                  <c:v>0</c:v>
                </c:pt>
                <c:pt idx="16">
                  <c:v>43830919.18</c:v>
                </c:pt>
                <c:pt idx="17">
                  <c:v>0</c:v>
                </c:pt>
                <c:pt idx="18">
                  <c:v>61584930.229999997</c:v>
                </c:pt>
                <c:pt idx="19">
                  <c:v>0</c:v>
                </c:pt>
                <c:pt idx="20">
                  <c:v>45576194.5</c:v>
                </c:pt>
                <c:pt idx="21">
                  <c:v>0</c:v>
                </c:pt>
                <c:pt idx="22">
                  <c:v>55013428.090000004</c:v>
                </c:pt>
                <c:pt idx="23">
                  <c:v>0</c:v>
                </c:pt>
                <c:pt idx="24">
                  <c:v>628441194.31000006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743-44DE-8B71-58EEE06D988F}"/>
            </c:ext>
          </c:extLst>
        </c:ser>
        <c:ser>
          <c:idx val="16"/>
          <c:order val="16"/>
          <c:tx>
            <c:strRef>
              <c:f>[1]INGRESOS!$A$45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[1]INGRESOS!$B$1:$Z$1</c:f>
              <c:numCache>
                <c:formatCode>General</c:formatCode>
                <c:ptCount val="25"/>
              </c:numCache>
            </c:numRef>
          </c:cat>
          <c:val>
            <c:numRef>
              <c:f>[1]INGRESOS!$B$45:$Z$45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743-44DE-8B71-58EEE06D9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-1307037984"/>
        <c:axId val="-1307047776"/>
        <c:axId val="0"/>
      </c:bar3DChart>
      <c:catAx>
        <c:axId val="-13070379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MESES</a:t>
                </a:r>
                <a:r>
                  <a:rPr lang="es-MX" baseline="0"/>
                  <a:t> DEL AÑO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1307047776"/>
        <c:crosses val="autoZero"/>
        <c:auto val="1"/>
        <c:lblAlgn val="ctr"/>
        <c:lblOffset val="100"/>
        <c:noMultiLvlLbl val="0"/>
      </c:catAx>
      <c:valAx>
        <c:axId val="-1307047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CONCEPTO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-130703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176290463692023E-2"/>
          <c:y val="0.60937007874015758"/>
          <c:w val="0.89364720034995615"/>
          <c:h val="0.372111402741323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47631</xdr:rowOff>
    </xdr:from>
    <xdr:to>
      <xdr:col>3</xdr:col>
      <xdr:colOff>0</xdr:colOff>
      <xdr:row>58</xdr:row>
      <xdr:rowOff>123831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47631</xdr:rowOff>
    </xdr:from>
    <xdr:to>
      <xdr:col>3</xdr:col>
      <xdr:colOff>0</xdr:colOff>
      <xdr:row>58</xdr:row>
      <xdr:rowOff>123831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cnologias/Desktop/PARTICIPACIONES%20FECHAS%20DE%20ENTREG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INGRESOS (2)"/>
      <sheetName val="Hoja1 (2)"/>
    </sheetNames>
    <sheetDataSet>
      <sheetData sheetId="0">
        <row r="2">
          <cell r="A2" t="str">
            <v>FECHAS DE LA ENTREGA DE PARTICIPACIONES DE ENERO A DICIEMBRE 2019 AL MUNICIPIO DE EL SALTO, JAL.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</row>
        <row r="3">
          <cell r="A3">
            <v>0</v>
          </cell>
          <cell r="B3" t="str">
            <v>ENERO</v>
          </cell>
          <cell r="C3">
            <v>0</v>
          </cell>
          <cell r="D3" t="str">
            <v>FEBRERO</v>
          </cell>
          <cell r="E3">
            <v>0</v>
          </cell>
          <cell r="F3" t="str">
            <v>MARZO</v>
          </cell>
          <cell r="G3">
            <v>0</v>
          </cell>
          <cell r="H3" t="str">
            <v>ABRIL</v>
          </cell>
          <cell r="I3">
            <v>0</v>
          </cell>
          <cell r="J3" t="str">
            <v>MAYO</v>
          </cell>
          <cell r="K3">
            <v>0</v>
          </cell>
          <cell r="L3" t="str">
            <v>JUNIO</v>
          </cell>
          <cell r="M3">
            <v>0</v>
          </cell>
          <cell r="N3" t="str">
            <v>JULIO</v>
          </cell>
          <cell r="O3">
            <v>0</v>
          </cell>
          <cell r="P3" t="str">
            <v>AGOSTO</v>
          </cell>
          <cell r="Q3">
            <v>0</v>
          </cell>
          <cell r="R3" t="str">
            <v>SEPTIEMBRE</v>
          </cell>
          <cell r="S3">
            <v>0</v>
          </cell>
          <cell r="T3" t="str">
            <v>OCTUBRE</v>
          </cell>
          <cell r="U3">
            <v>0</v>
          </cell>
          <cell r="V3" t="str">
            <v>NOVIEMBRE</v>
          </cell>
          <cell r="W3">
            <v>0</v>
          </cell>
          <cell r="X3" t="str">
            <v>DICIEMBRE</v>
          </cell>
          <cell r="Y3">
            <v>0</v>
          </cell>
          <cell r="Z3">
            <v>0</v>
          </cell>
        </row>
        <row r="4">
          <cell r="A4" t="str">
            <v>CONCEPTO</v>
          </cell>
          <cell r="B4" t="str">
            <v>CANTIDAD RECIBIDA</v>
          </cell>
          <cell r="C4" t="str">
            <v>FECHA</v>
          </cell>
          <cell r="D4" t="str">
            <v>CANTIDAD RECIBIDA</v>
          </cell>
          <cell r="E4" t="str">
            <v>FECHA</v>
          </cell>
          <cell r="F4" t="str">
            <v>CANTIDAD RECIBIDA</v>
          </cell>
          <cell r="G4" t="str">
            <v>FECHA</v>
          </cell>
          <cell r="H4" t="str">
            <v>CANTIDAD RECIBIDA</v>
          </cell>
          <cell r="I4" t="str">
            <v>FECHA</v>
          </cell>
          <cell r="J4" t="str">
            <v>CANTIDAD RECIBIDA</v>
          </cell>
          <cell r="K4" t="str">
            <v>FECHA</v>
          </cell>
          <cell r="L4" t="str">
            <v>CANTIDAD RECIBIDA</v>
          </cell>
          <cell r="M4" t="str">
            <v>FECHA</v>
          </cell>
          <cell r="N4" t="str">
            <v>CANTIDAD RECIBIDA</v>
          </cell>
          <cell r="O4" t="str">
            <v>FECHA</v>
          </cell>
          <cell r="P4" t="str">
            <v>CANTIDAD RECIBIDA</v>
          </cell>
          <cell r="Q4" t="str">
            <v>FECHA</v>
          </cell>
          <cell r="R4" t="str">
            <v>CANTIDAD RECIBIDA</v>
          </cell>
          <cell r="S4" t="str">
            <v>FECHA</v>
          </cell>
          <cell r="T4" t="str">
            <v>CANTIDAD RECIBIDA</v>
          </cell>
          <cell r="U4" t="str">
            <v>FECHA</v>
          </cell>
          <cell r="V4" t="str">
            <v>CANTIDAD RECIBIDA</v>
          </cell>
          <cell r="W4" t="str">
            <v>FECHA</v>
          </cell>
          <cell r="X4" t="str">
            <v>CANTIDAD RECIBIDA</v>
          </cell>
          <cell r="Y4" t="str">
            <v>FECHA</v>
          </cell>
          <cell r="Z4" t="str">
            <v>TOTAL</v>
          </cell>
        </row>
        <row r="5">
          <cell r="A5" t="str">
            <v xml:space="preserve">SUMA PARTICPACIONES EST. Y FED. </v>
          </cell>
          <cell r="B5">
            <v>15311700.279999999</v>
          </cell>
          <cell r="C5">
            <v>43480</v>
          </cell>
          <cell r="D5">
            <v>21056466.16</v>
          </cell>
          <cell r="E5">
            <v>43511</v>
          </cell>
          <cell r="F5">
            <v>19503266.77</v>
          </cell>
          <cell r="G5">
            <v>43539</v>
          </cell>
          <cell r="H5">
            <v>16188165.649999999</v>
          </cell>
          <cell r="I5">
            <v>43570</v>
          </cell>
          <cell r="J5">
            <v>22550318.969999999</v>
          </cell>
          <cell r="K5">
            <v>43600</v>
          </cell>
          <cell r="L5">
            <v>19509394.98</v>
          </cell>
          <cell r="M5">
            <v>43630</v>
          </cell>
          <cell r="N5">
            <v>22941752.259999998</v>
          </cell>
          <cell r="O5">
            <v>43661</v>
          </cell>
          <cell r="P5">
            <v>15445630.269999998</v>
          </cell>
          <cell r="Q5">
            <v>43692</v>
          </cell>
          <cell r="R5">
            <v>16101619.550000001</v>
          </cell>
          <cell r="S5">
            <v>0</v>
          </cell>
          <cell r="T5">
            <v>16687416.210000001</v>
          </cell>
          <cell r="U5">
            <v>0</v>
          </cell>
          <cell r="V5">
            <v>17622925.68</v>
          </cell>
          <cell r="W5">
            <v>0</v>
          </cell>
          <cell r="X5">
            <v>23972593.41</v>
          </cell>
          <cell r="Y5">
            <v>0</v>
          </cell>
          <cell r="Z5">
            <v>0</v>
          </cell>
        </row>
        <row r="26">
          <cell r="A26" t="str">
            <v>FONDO DE FISCALIZACION Y RECAUDACION</v>
          </cell>
          <cell r="B26">
            <v>753788.94</v>
          </cell>
          <cell r="C26">
            <v>43494</v>
          </cell>
          <cell r="D26">
            <v>1191844.3899999999</v>
          </cell>
          <cell r="E26">
            <v>43521</v>
          </cell>
          <cell r="F26">
            <v>0</v>
          </cell>
          <cell r="G26">
            <v>0</v>
          </cell>
          <cell r="H26">
            <v>1140371.17</v>
          </cell>
          <cell r="I26">
            <v>43585</v>
          </cell>
          <cell r="J26">
            <v>1288452.8500000001</v>
          </cell>
          <cell r="K26">
            <v>43616</v>
          </cell>
          <cell r="L26">
            <v>954089.68</v>
          </cell>
          <cell r="M26">
            <v>43642</v>
          </cell>
          <cell r="N26">
            <v>1622896.13</v>
          </cell>
          <cell r="O26">
            <v>43676</v>
          </cell>
          <cell r="P26">
            <v>1108802.0900000001</v>
          </cell>
          <cell r="Q26">
            <v>43703</v>
          </cell>
          <cell r="R26">
            <v>1150311.42</v>
          </cell>
          <cell r="S26">
            <v>43733</v>
          </cell>
          <cell r="T26">
            <v>1114131.74</v>
          </cell>
          <cell r="U26">
            <v>0</v>
          </cell>
          <cell r="V26">
            <v>898923.09</v>
          </cell>
          <cell r="W26">
            <v>0</v>
          </cell>
          <cell r="X26">
            <v>1132771.33</v>
          </cell>
          <cell r="Y26">
            <v>0</v>
          </cell>
          <cell r="Z26">
            <v>0</v>
          </cell>
        </row>
        <row r="27">
          <cell r="A27" t="str">
            <v>FONDO DE FISCALIZA. AL 40% Y 60%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737192.37</v>
          </cell>
          <cell r="G27">
            <v>43549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I.E.P.S. GASOLINA Y DIESEL HASTA 2013 Y ACTOS DE FISCALIZACION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2645.11</v>
          </cell>
          <cell r="K28">
            <v>43598</v>
          </cell>
          <cell r="L28">
            <v>3210.17</v>
          </cell>
          <cell r="M28">
            <v>43630</v>
          </cell>
          <cell r="N28">
            <v>0</v>
          </cell>
          <cell r="O28">
            <v>0</v>
          </cell>
          <cell r="P28">
            <v>5128.1400000000003</v>
          </cell>
          <cell r="Q28">
            <v>43692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1765.29</v>
          </cell>
          <cell r="Y28">
            <v>0</v>
          </cell>
          <cell r="Z28">
            <v>0</v>
          </cell>
        </row>
        <row r="29">
          <cell r="A29" t="str">
            <v xml:space="preserve">I.E.P.S. GASOLINA Y DIESEL </v>
          </cell>
          <cell r="B29">
            <v>505620.43</v>
          </cell>
          <cell r="C29">
            <v>43482</v>
          </cell>
          <cell r="D29">
            <v>561526.59</v>
          </cell>
          <cell r="E29">
            <v>43511</v>
          </cell>
          <cell r="F29">
            <v>479625.45</v>
          </cell>
          <cell r="G29">
            <v>43539</v>
          </cell>
          <cell r="H29">
            <v>472242.27</v>
          </cell>
          <cell r="I29">
            <v>43570</v>
          </cell>
          <cell r="J29">
            <v>515866.74</v>
          </cell>
          <cell r="K29">
            <v>43600</v>
          </cell>
          <cell r="L29">
            <v>520901.83</v>
          </cell>
          <cell r="M29">
            <v>43630</v>
          </cell>
          <cell r="N29">
            <v>538584.13</v>
          </cell>
          <cell r="O29">
            <v>43661</v>
          </cell>
          <cell r="P29">
            <v>473136.45</v>
          </cell>
          <cell r="Q29">
            <v>43693</v>
          </cell>
          <cell r="R29">
            <v>506046.43</v>
          </cell>
          <cell r="S29">
            <v>43721</v>
          </cell>
          <cell r="T29">
            <v>468262.06</v>
          </cell>
          <cell r="U29">
            <v>0</v>
          </cell>
          <cell r="V29">
            <v>406445.66</v>
          </cell>
          <cell r="W29">
            <v>0</v>
          </cell>
          <cell r="X29">
            <v>460728.57</v>
          </cell>
          <cell r="Y29">
            <v>0</v>
          </cell>
          <cell r="Z29">
            <v>0</v>
          </cell>
        </row>
        <row r="30">
          <cell r="A30" t="str">
            <v>FONDO DE COMPEN. DE I.S.A.N.</v>
          </cell>
          <cell r="B30">
            <v>51962.12</v>
          </cell>
          <cell r="C30">
            <v>43494</v>
          </cell>
          <cell r="D30">
            <v>51962.12</v>
          </cell>
          <cell r="E30">
            <v>43521</v>
          </cell>
          <cell r="F30">
            <v>51962.12</v>
          </cell>
          <cell r="G30">
            <v>43549</v>
          </cell>
          <cell r="H30">
            <v>51962.12</v>
          </cell>
          <cell r="I30">
            <v>43580</v>
          </cell>
          <cell r="J30">
            <v>51962.12</v>
          </cell>
          <cell r="K30">
            <v>43609</v>
          </cell>
          <cell r="L30">
            <v>51962.12</v>
          </cell>
          <cell r="M30">
            <v>43640</v>
          </cell>
          <cell r="N30">
            <v>51962.12</v>
          </cell>
          <cell r="O30">
            <v>43668</v>
          </cell>
          <cell r="P30">
            <v>51962.12</v>
          </cell>
          <cell r="Q30">
            <v>43700</v>
          </cell>
          <cell r="R30">
            <v>51962.12</v>
          </cell>
          <cell r="S30">
            <v>43733</v>
          </cell>
          <cell r="T30">
            <v>51962.12</v>
          </cell>
          <cell r="U30">
            <v>0</v>
          </cell>
          <cell r="V30">
            <v>51962.12</v>
          </cell>
          <cell r="W30">
            <v>0</v>
          </cell>
          <cell r="X30">
            <v>51962.12</v>
          </cell>
          <cell r="Y30">
            <v>0</v>
          </cell>
          <cell r="Z30">
            <v>0</v>
          </cell>
        </row>
        <row r="32">
          <cell r="A32" t="str">
            <v>I.S.R. SEGÚN ARTICULO 3°B DE LA LEY DE COOR.FISCAL</v>
          </cell>
          <cell r="B32">
            <v>0</v>
          </cell>
          <cell r="C32">
            <v>0</v>
          </cell>
          <cell r="D32">
            <v>10131</v>
          </cell>
          <cell r="E32">
            <v>43501</v>
          </cell>
          <cell r="F32">
            <v>4526</v>
          </cell>
          <cell r="G32">
            <v>43528</v>
          </cell>
          <cell r="H32">
            <v>16551</v>
          </cell>
          <cell r="I32">
            <v>43557</v>
          </cell>
          <cell r="J32">
            <v>4504155</v>
          </cell>
          <cell r="K32">
            <v>43588</v>
          </cell>
          <cell r="L32">
            <v>3758705</v>
          </cell>
          <cell r="M32">
            <v>43622</v>
          </cell>
          <cell r="N32">
            <v>2649093</v>
          </cell>
          <cell r="O32">
            <v>43649</v>
          </cell>
          <cell r="P32">
            <v>0</v>
          </cell>
          <cell r="Q32">
            <v>0</v>
          </cell>
          <cell r="R32">
            <v>2059</v>
          </cell>
          <cell r="S32">
            <v>43710</v>
          </cell>
          <cell r="T32">
            <v>5505955</v>
          </cell>
          <cell r="U32">
            <v>0</v>
          </cell>
          <cell r="V32">
            <v>3882263</v>
          </cell>
          <cell r="W32">
            <v>0</v>
          </cell>
          <cell r="X32">
            <v>1776651</v>
          </cell>
          <cell r="Y32">
            <v>0</v>
          </cell>
          <cell r="Z32">
            <v>0</v>
          </cell>
        </row>
        <row r="34">
          <cell r="A34" t="str">
            <v xml:space="preserve">FORTALECIMIENTO </v>
          </cell>
          <cell r="B34">
            <v>10635720.199999999</v>
          </cell>
          <cell r="C34">
            <v>43501</v>
          </cell>
          <cell r="D34">
            <v>10635720.199999999</v>
          </cell>
          <cell r="E34">
            <v>43524</v>
          </cell>
          <cell r="F34">
            <v>10635720.199999999</v>
          </cell>
          <cell r="G34">
            <v>43553</v>
          </cell>
          <cell r="H34">
            <v>10635720.199999999</v>
          </cell>
          <cell r="I34">
            <v>43585</v>
          </cell>
          <cell r="J34">
            <v>10635720.199999999</v>
          </cell>
          <cell r="K34">
            <v>43616</v>
          </cell>
          <cell r="L34">
            <v>10635720.199999999</v>
          </cell>
          <cell r="M34">
            <v>43644</v>
          </cell>
          <cell r="N34">
            <v>10635720.199999999</v>
          </cell>
          <cell r="O34">
            <v>43677</v>
          </cell>
          <cell r="P34">
            <v>10635720.199999999</v>
          </cell>
          <cell r="Q34">
            <v>43707</v>
          </cell>
          <cell r="R34">
            <v>10635720.199999999</v>
          </cell>
          <cell r="S34">
            <v>43738</v>
          </cell>
          <cell r="T34">
            <v>10635720.199999999</v>
          </cell>
          <cell r="U34">
            <v>43769</v>
          </cell>
          <cell r="V34">
            <v>10635720.199999999</v>
          </cell>
          <cell r="W34">
            <v>43799</v>
          </cell>
          <cell r="X34">
            <v>10635720.16</v>
          </cell>
          <cell r="Y34">
            <v>0</v>
          </cell>
          <cell r="Z34">
            <v>127628642.36000001</v>
          </cell>
        </row>
        <row r="35">
          <cell r="A35" t="str">
            <v>INFRAESTRUCTURA SOCIAL</v>
          </cell>
          <cell r="B35">
            <v>2705850.5</v>
          </cell>
          <cell r="C35">
            <v>43501</v>
          </cell>
          <cell r="D35">
            <v>2705850.5</v>
          </cell>
          <cell r="E35">
            <v>43524</v>
          </cell>
          <cell r="F35">
            <v>2705850.5</v>
          </cell>
          <cell r="G35">
            <v>43553</v>
          </cell>
          <cell r="H35">
            <v>2705850.5</v>
          </cell>
          <cell r="I35">
            <v>43585</v>
          </cell>
          <cell r="J35">
            <v>2705850.5</v>
          </cell>
          <cell r="K35">
            <v>43616</v>
          </cell>
          <cell r="L35">
            <v>2705850.5</v>
          </cell>
          <cell r="M35">
            <v>43644</v>
          </cell>
          <cell r="N35">
            <v>2705850.5</v>
          </cell>
          <cell r="O35">
            <v>43677</v>
          </cell>
          <cell r="P35">
            <v>2705850.5</v>
          </cell>
          <cell r="Q35">
            <v>43707</v>
          </cell>
          <cell r="R35">
            <v>2705850.5</v>
          </cell>
          <cell r="S35">
            <v>43738</v>
          </cell>
          <cell r="T35">
            <v>2705850.74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27058505.240000002</v>
          </cell>
        </row>
        <row r="36">
          <cell r="A36" t="str">
            <v>PRODUCTOS FINANCIEROS FORTALECIMIENTO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12022.45</v>
          </cell>
          <cell r="G36">
            <v>43551</v>
          </cell>
          <cell r="H36">
            <v>66.569999999999993</v>
          </cell>
          <cell r="I36">
            <v>43577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12089.02</v>
          </cell>
        </row>
        <row r="37">
          <cell r="A37" t="str">
            <v>PRODUCTOS FINANCIEROS INFRAESTRUCTURA SOCIAL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2923.62</v>
          </cell>
          <cell r="G37">
            <v>43551</v>
          </cell>
          <cell r="H37">
            <v>3.12</v>
          </cell>
          <cell r="I37">
            <v>43577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954.42</v>
          </cell>
          <cell r="W37">
            <v>0</v>
          </cell>
          <cell r="X37">
            <v>25.23</v>
          </cell>
          <cell r="Y37">
            <v>0</v>
          </cell>
          <cell r="Z37">
            <v>3906.39</v>
          </cell>
        </row>
        <row r="43">
          <cell r="A43" t="str">
            <v>INGRESOS PROPIOS</v>
          </cell>
          <cell r="B43">
            <v>30952281.84</v>
          </cell>
          <cell r="C43">
            <v>0</v>
          </cell>
          <cell r="D43">
            <v>34701961.539999999</v>
          </cell>
          <cell r="E43">
            <v>0</v>
          </cell>
          <cell r="F43">
            <v>15141730.379999999</v>
          </cell>
          <cell r="G43">
            <v>0</v>
          </cell>
          <cell r="H43">
            <v>10090693.439999999</v>
          </cell>
          <cell r="I43">
            <v>0</v>
          </cell>
          <cell r="J43">
            <v>10775658.83</v>
          </cell>
          <cell r="K43">
            <v>0</v>
          </cell>
          <cell r="L43">
            <v>9522090.3900000006</v>
          </cell>
          <cell r="M43">
            <v>0</v>
          </cell>
          <cell r="N43">
            <v>11590331.43</v>
          </cell>
          <cell r="O43">
            <v>0</v>
          </cell>
          <cell r="P43">
            <v>8745573.4600000009</v>
          </cell>
          <cell r="Q43">
            <v>0</v>
          </cell>
          <cell r="R43">
            <v>6858910.5899999999</v>
          </cell>
          <cell r="S43">
            <v>0</v>
          </cell>
          <cell r="T43">
            <v>20258052.800000001</v>
          </cell>
          <cell r="U43">
            <v>0</v>
          </cell>
          <cell r="V43">
            <v>9610051.6400000006</v>
          </cell>
          <cell r="W43">
            <v>0</v>
          </cell>
          <cell r="X43">
            <v>11268277.279999999</v>
          </cell>
          <cell r="Y43">
            <v>0</v>
          </cell>
          <cell r="Z43">
            <v>179515613.62</v>
          </cell>
        </row>
        <row r="44">
          <cell r="A44" t="str">
            <v>TOTALES</v>
          </cell>
          <cell r="B44">
            <v>60916924.310000002</v>
          </cell>
          <cell r="C44">
            <v>0</v>
          </cell>
          <cell r="D44">
            <v>70915462.5</v>
          </cell>
          <cell r="E44">
            <v>0</v>
          </cell>
          <cell r="F44">
            <v>49274819.859999999</v>
          </cell>
          <cell r="G44">
            <v>0</v>
          </cell>
          <cell r="H44">
            <v>47993882.939999998</v>
          </cell>
          <cell r="I44">
            <v>0</v>
          </cell>
          <cell r="J44">
            <v>53030630.32</v>
          </cell>
          <cell r="K44">
            <v>0</v>
          </cell>
          <cell r="L44">
            <v>47661924.870000005</v>
          </cell>
          <cell r="M44">
            <v>0</v>
          </cell>
          <cell r="N44">
            <v>53470274.280000001</v>
          </cell>
          <cell r="O44">
            <v>0</v>
          </cell>
          <cell r="P44">
            <v>39171803.229999997</v>
          </cell>
          <cell r="Q44">
            <v>0</v>
          </cell>
          <cell r="R44">
            <v>43830919.18</v>
          </cell>
          <cell r="S44">
            <v>0</v>
          </cell>
          <cell r="T44">
            <v>61584930.229999997</v>
          </cell>
          <cell r="U44">
            <v>0</v>
          </cell>
          <cell r="V44">
            <v>45576194.5</v>
          </cell>
          <cell r="W44">
            <v>0</v>
          </cell>
          <cell r="X44">
            <v>55013428.090000004</v>
          </cell>
          <cell r="Y44">
            <v>0</v>
          </cell>
          <cell r="Z44">
            <v>628441194.31000006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K4" sqref="K4"/>
    </sheetView>
  </sheetViews>
  <sheetFormatPr baseColWidth="10" defaultRowHeight="15" x14ac:dyDescent="0.25"/>
  <cols>
    <col min="1" max="1" width="18" customWidth="1"/>
    <col min="2" max="2" width="15.42578125" customWidth="1"/>
    <col min="3" max="3" width="15" customWidth="1"/>
    <col min="4" max="6" width="15.140625" customWidth="1"/>
    <col min="7" max="8" width="15" customWidth="1"/>
    <col min="9" max="9" width="15.140625" customWidth="1"/>
    <col min="10" max="10" width="14.42578125" customWidth="1"/>
    <col min="11" max="11" width="15.28515625" style="20" customWidth="1"/>
    <col min="12" max="12" width="14.5703125" customWidth="1"/>
    <col min="13" max="13" width="15.5703125" customWidth="1"/>
    <col min="14" max="14" width="15.42578125" customWidth="1"/>
  </cols>
  <sheetData>
    <row r="2" spans="1:15" x14ac:dyDescent="0.25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 x14ac:dyDescent="0.25">
      <c r="A3" s="2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3"/>
    </row>
    <row r="4" spans="1:15" ht="27" x14ac:dyDescent="0.25">
      <c r="A4" s="4" t="s">
        <v>12</v>
      </c>
      <c r="B4" s="5">
        <f t="shared" ref="B4:J4" si="0">B5+B6</f>
        <v>15311700.279999999</v>
      </c>
      <c r="C4" s="5">
        <f t="shared" si="0"/>
        <v>21056466.16</v>
      </c>
      <c r="D4" s="5">
        <f t="shared" si="0"/>
        <v>19503266.77</v>
      </c>
      <c r="E4" s="5">
        <f t="shared" si="0"/>
        <v>16188165.649999999</v>
      </c>
      <c r="F4" s="5">
        <f t="shared" si="0"/>
        <v>22550318.969999999</v>
      </c>
      <c r="G4" s="5">
        <f t="shared" si="0"/>
        <v>19509394.98</v>
      </c>
      <c r="H4" s="5">
        <f t="shared" si="0"/>
        <v>22941752.259999998</v>
      </c>
      <c r="I4" s="5">
        <f t="shared" si="0"/>
        <v>15445630.269999998</v>
      </c>
      <c r="J4" s="5">
        <f t="shared" si="0"/>
        <v>16101619.550000001</v>
      </c>
      <c r="K4" s="5">
        <f>K6+K5</f>
        <v>16687416.210000001</v>
      </c>
      <c r="L4" s="5">
        <f>L5+L6</f>
        <v>17622925.68</v>
      </c>
      <c r="M4" s="5">
        <f>M5+M6</f>
        <v>23972593.41</v>
      </c>
      <c r="N4" s="6"/>
    </row>
    <row r="5" spans="1:15" ht="18" x14ac:dyDescent="0.25">
      <c r="A5" s="26" t="s">
        <v>16</v>
      </c>
      <c r="B5" s="27">
        <f>4981410+13636</f>
        <v>4995046</v>
      </c>
      <c r="C5" s="27">
        <f>9977688.8+263644</f>
        <v>10241332.800000001</v>
      </c>
      <c r="D5" s="27">
        <f>5340951.2+626661</f>
        <v>5967612.2000000002</v>
      </c>
      <c r="E5" s="27">
        <f>5445693.6+464725</f>
        <v>5910418.5999999996</v>
      </c>
      <c r="F5" s="27">
        <f>10538711.6+297710</f>
        <v>10836421.6</v>
      </c>
      <c r="G5" s="27">
        <f>7390782.4+516441</f>
        <v>7907223.4000000004</v>
      </c>
      <c r="H5" s="27">
        <f>10229579.2+306741</f>
        <v>10536320.199999999</v>
      </c>
      <c r="I5" s="27">
        <f>4974938+35818</f>
        <v>5010756</v>
      </c>
      <c r="J5" s="27">
        <f>4340704+781706</f>
        <v>5122410</v>
      </c>
      <c r="K5" s="27">
        <f>6650862.4+339554</f>
        <v>6990416.4000000004</v>
      </c>
      <c r="L5" s="27">
        <f>10874708+313117</f>
        <v>11187825</v>
      </c>
      <c r="M5" s="27">
        <f>13789434.4+805606</f>
        <v>14595040.4</v>
      </c>
      <c r="N5" s="28">
        <f>SUM(B5:M5)</f>
        <v>99300822.600000009</v>
      </c>
    </row>
    <row r="6" spans="1:15" ht="18" x14ac:dyDescent="0.25">
      <c r="A6" s="29" t="s">
        <v>15</v>
      </c>
      <c r="B6" s="30">
        <f>9209184.5+559+219812.19+754333.33+132765.26</f>
        <v>10316654.279999999</v>
      </c>
      <c r="C6" s="30">
        <f>9443454.61+197.52+259975.9+837770.55+273734.78</f>
        <v>10815133.359999999</v>
      </c>
      <c r="D6" s="30">
        <f>11970794.57+349353.81+246.5+305843.26+47802.55+575403.53+286210.35</f>
        <v>13535654.57</v>
      </c>
      <c r="E6" s="30">
        <f>9084909.52+357.74+359087.69+681099.66+152292.44</f>
        <v>10277747.049999999</v>
      </c>
      <c r="F6" s="30">
        <f>10453331.49+145.29+186698.78+800249.91+273471.9</f>
        <v>11713897.369999999</v>
      </c>
      <c r="G6" s="30">
        <f>11475400.26-1014215.15+151.81+219381.75-25272.69+742689.23+204036.37</f>
        <v>11602171.58</v>
      </c>
      <c r="H6" s="30">
        <f>9088740.08+1968811.2+380.56+282946.96+200952.35+697402.38+166198.53</f>
        <v>12405432.060000001</v>
      </c>
      <c r="I6" s="30">
        <f>9247116.83+235.27+248028.52+704172.36+235321.29</f>
        <v>10434874.269999998</v>
      </c>
      <c r="J6" s="30">
        <f>9977215.99+245.81+280022.78+583382.59+138342.38</f>
        <v>10979209.550000001</v>
      </c>
      <c r="K6" s="30">
        <f>8320615.7+232.69+419514.99+744904.94+211731.49</f>
        <v>9696999.8100000005</v>
      </c>
      <c r="L6" s="30">
        <f>8689512.53-3566390.07+155.8+244159.62+171931.25+730202.47+165529.08</f>
        <v>6435100.6799999988</v>
      </c>
      <c r="M6" s="30">
        <f>8188612.58+361.95+218907.08+741089.43+228581.97</f>
        <v>9377553.0099999998</v>
      </c>
      <c r="N6" s="31">
        <f>SUM(B6:M6)</f>
        <v>127590427.58999999</v>
      </c>
    </row>
    <row r="7" spans="1:15" x14ac:dyDescent="0.25">
      <c r="A7" s="10"/>
      <c r="B7" s="11"/>
      <c r="C7" s="11"/>
      <c r="D7" s="11"/>
      <c r="E7" s="11"/>
      <c r="F7" s="11"/>
      <c r="G7" s="11"/>
      <c r="H7" s="11"/>
      <c r="I7" s="11"/>
      <c r="J7" s="13"/>
      <c r="K7" s="14"/>
      <c r="L7" s="11"/>
      <c r="M7" s="11"/>
      <c r="N7" s="12"/>
    </row>
    <row r="8" spans="1:15" s="36" customFormat="1" x14ac:dyDescent="0.25">
      <c r="A8" s="32" t="s">
        <v>17</v>
      </c>
      <c r="B8" s="33">
        <f>753788.94+505620.43+51962.12</f>
        <v>1311371.49</v>
      </c>
      <c r="C8" s="33">
        <f>1191844.39+561526.59+51962.12+10131</f>
        <v>1815464.1</v>
      </c>
      <c r="D8" s="33">
        <f>737192.37+479625.45+51962.12+4526</f>
        <v>1273305.9400000002</v>
      </c>
      <c r="E8" s="33">
        <f>1140371.17+472242.27+51962.12+16551</f>
        <v>1681126.56</v>
      </c>
      <c r="F8" s="33">
        <f>1288452.85+2645.11+515866.74+51962.12+4504155</f>
        <v>6363081.8200000003</v>
      </c>
      <c r="G8" s="33">
        <f>954089.68+3210.17+520901.83+51962.12+3758705</f>
        <v>5288868.8000000007</v>
      </c>
      <c r="H8" s="33">
        <f>1622896.13+538584.13+51962.12+664084.51+2649093</f>
        <v>5526619.8899999997</v>
      </c>
      <c r="I8" s="33">
        <f>1108802.09+5128.14+473136.45+51962.12</f>
        <v>1639028.8</v>
      </c>
      <c r="J8" s="34">
        <f>1150311.42+506046.43+51962.12+2059</f>
        <v>1710378.97</v>
      </c>
      <c r="K8" s="35">
        <f>1114131.74+468262.06+51962.12+2011169.14+5505955</f>
        <v>9151480.0600000005</v>
      </c>
      <c r="L8" s="33">
        <f>898923.09+406445.66+51962.12+3882263</f>
        <v>5239593.87</v>
      </c>
      <c r="M8" s="33">
        <f>1132771.33+1765.29+460728.57+51962.12+4107361.34+1776651</f>
        <v>7531239.6500000004</v>
      </c>
      <c r="N8" s="16">
        <f>M8+L8+K8++J8+I8+H8+G8+F8+E8+D8+C8+B8</f>
        <v>48531559.950000003</v>
      </c>
    </row>
    <row r="9" spans="1:15" s="36" customFormat="1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  <c r="N9" s="12"/>
    </row>
    <row r="10" spans="1:15" x14ac:dyDescent="0.25">
      <c r="A10" s="15" t="s">
        <v>18</v>
      </c>
      <c r="B10" s="7">
        <v>10635720.199999999</v>
      </c>
      <c r="C10" s="7">
        <v>10635720.199999999</v>
      </c>
      <c r="D10" s="7">
        <v>10635720.199999999</v>
      </c>
      <c r="E10" s="7">
        <v>10635720.199999999</v>
      </c>
      <c r="F10" s="7">
        <v>10635720.199999999</v>
      </c>
      <c r="G10" s="7">
        <v>10635720.199999999</v>
      </c>
      <c r="H10" s="7">
        <v>10635720.199999999</v>
      </c>
      <c r="I10" s="7">
        <v>10635720.199999999</v>
      </c>
      <c r="J10" s="7">
        <v>10635720.199999999</v>
      </c>
      <c r="K10" s="7">
        <v>10635720.199999999</v>
      </c>
      <c r="L10" s="7">
        <v>10635720.199999999</v>
      </c>
      <c r="M10" s="7">
        <v>10635720.16</v>
      </c>
      <c r="N10" s="16">
        <f>M10+L10+K10++J10+I10+H10+G10+F10+E10+D10+C10+B10</f>
        <v>127628642.36000001</v>
      </c>
    </row>
    <row r="11" spans="1:15" x14ac:dyDescent="0.25">
      <c r="A11" s="37" t="s">
        <v>19</v>
      </c>
      <c r="B11" s="7">
        <v>2705850.5</v>
      </c>
      <c r="C11" s="7">
        <v>2705850.5</v>
      </c>
      <c r="D11" s="7">
        <v>2705850.5</v>
      </c>
      <c r="E11" s="7">
        <v>2705850.5</v>
      </c>
      <c r="F11" s="7">
        <v>2705850.5</v>
      </c>
      <c r="G11" s="7">
        <v>2705850.5</v>
      </c>
      <c r="H11" s="7">
        <v>2705850.5</v>
      </c>
      <c r="I11" s="7">
        <v>2705850.5</v>
      </c>
      <c r="J11" s="8">
        <v>2705850.5</v>
      </c>
      <c r="K11" s="7">
        <v>2705850.74</v>
      </c>
      <c r="L11" s="7"/>
      <c r="M11" s="7"/>
      <c r="N11" s="16">
        <f>M11+L11+K11++J11+I11+H11+G11+F11+E11+D11+C11+B11</f>
        <v>27058505.240000002</v>
      </c>
    </row>
    <row r="12" spans="1:15" x14ac:dyDescent="0.25">
      <c r="A12" s="38"/>
      <c r="B12" s="11"/>
      <c r="C12" s="11"/>
      <c r="D12" s="11"/>
      <c r="E12" s="11"/>
      <c r="F12" s="11"/>
      <c r="G12" s="11"/>
      <c r="H12" s="11"/>
      <c r="I12" s="11"/>
      <c r="J12" s="13"/>
      <c r="K12" s="11"/>
      <c r="L12" s="11"/>
      <c r="M12" s="11"/>
      <c r="N12" s="39"/>
    </row>
    <row r="13" spans="1:15" s="36" customFormat="1" x14ac:dyDescent="0.25">
      <c r="A13" s="40" t="s">
        <v>20</v>
      </c>
      <c r="B13" s="33"/>
      <c r="C13" s="33"/>
      <c r="D13" s="33"/>
      <c r="E13" s="33">
        <v>6692256.9000000004</v>
      </c>
      <c r="F13" s="33"/>
      <c r="G13" s="33"/>
      <c r="H13" s="33">
        <v>70000</v>
      </c>
      <c r="I13" s="33"/>
      <c r="J13" s="34">
        <f>2868110.1+1954917.53+995411.74</f>
        <v>5818439.3700000001</v>
      </c>
      <c r="K13" s="33">
        <v>2142231.52</v>
      </c>
      <c r="L13" s="33">
        <f>350000+2116948.69</f>
        <v>2466948.69</v>
      </c>
      <c r="M13" s="33">
        <v>1605572.36</v>
      </c>
      <c r="N13" s="16">
        <f t="shared" ref="N13:N14" si="1">M13+L13+K13++J13+I13+H13+G13+F13+E13+D13+C13+B13</f>
        <v>18795448.840000004</v>
      </c>
    </row>
    <row r="14" spans="1:15" s="36" customFormat="1" x14ac:dyDescent="0.25">
      <c r="A14" s="40" t="s">
        <v>13</v>
      </c>
      <c r="B14" s="33">
        <v>30952281.809999999</v>
      </c>
      <c r="C14" s="33">
        <v>34701961.539999999</v>
      </c>
      <c r="D14" s="33">
        <f>12022.45+2923.62+15141730.38</f>
        <v>15156676.450000001</v>
      </c>
      <c r="E14" s="33">
        <f>66.57+3.12+10090693.44</f>
        <v>10090763.129999999</v>
      </c>
      <c r="F14" s="33">
        <v>10775658.83</v>
      </c>
      <c r="G14" s="33">
        <v>9522090.3900000006</v>
      </c>
      <c r="H14" s="33">
        <v>11590331.43</v>
      </c>
      <c r="I14" s="33">
        <v>8745573.4600000009</v>
      </c>
      <c r="J14" s="34">
        <v>6858910.5899999999</v>
      </c>
      <c r="K14" s="33">
        <f>4178.7+20258052.8</f>
        <v>20262231.5</v>
      </c>
      <c r="L14" s="33">
        <f>9610051.64+954.42</f>
        <v>9611006.0600000005</v>
      </c>
      <c r="M14" s="33">
        <f>25.23+11268277.28</f>
        <v>11268302.51</v>
      </c>
      <c r="N14" s="16">
        <f t="shared" si="1"/>
        <v>179535787.69999999</v>
      </c>
    </row>
    <row r="15" spans="1:15" x14ac:dyDescent="0.25">
      <c r="A15" s="17" t="s">
        <v>14</v>
      </c>
      <c r="B15" s="9">
        <f>SUM(B8:B14)+B4</f>
        <v>60916924.280000001</v>
      </c>
      <c r="C15" s="9">
        <f t="shared" ref="C15:M15" si="2">SUM(C8:C14)+C4</f>
        <v>70915462.5</v>
      </c>
      <c r="D15" s="9">
        <f t="shared" si="2"/>
        <v>49274819.859999999</v>
      </c>
      <c r="E15" s="9">
        <f t="shared" si="2"/>
        <v>47993882.939999998</v>
      </c>
      <c r="F15" s="9">
        <f t="shared" si="2"/>
        <v>53030630.32</v>
      </c>
      <c r="G15" s="9">
        <f t="shared" si="2"/>
        <v>47661924.870000005</v>
      </c>
      <c r="H15" s="9">
        <f t="shared" si="2"/>
        <v>53470274.280000001</v>
      </c>
      <c r="I15" s="9">
        <f t="shared" si="2"/>
        <v>39171803.229999997</v>
      </c>
      <c r="J15" s="9">
        <f t="shared" si="2"/>
        <v>43830919.18</v>
      </c>
      <c r="K15" s="9">
        <f t="shared" si="2"/>
        <v>61584930.229999997</v>
      </c>
      <c r="L15" s="9">
        <f t="shared" si="2"/>
        <v>45576194.5</v>
      </c>
      <c r="M15" s="9">
        <f t="shared" si="2"/>
        <v>55013428.090000004</v>
      </c>
      <c r="N15" s="9">
        <f>SUM(B15:M15)</f>
        <v>628441194.28000009</v>
      </c>
    </row>
    <row r="16" spans="1:1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41">
        <f>SUM(N5:N14)</f>
        <v>628441194.27999997</v>
      </c>
    </row>
    <row r="17" spans="1:13" x14ac:dyDescent="0.25">
      <c r="A17" s="23"/>
      <c r="B17" s="23"/>
    </row>
    <row r="18" spans="1:13" x14ac:dyDescent="0.25">
      <c r="A18" s="24"/>
      <c r="B18" s="24"/>
    </row>
    <row r="19" spans="1:13" x14ac:dyDescent="0.25">
      <c r="A19" s="25"/>
      <c r="B19" s="25"/>
    </row>
    <row r="22" spans="1:13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mergeCells count="1">
    <mergeCell ref="A2:N2"/>
  </mergeCells>
  <pageMargins left="0.70866141732283472" right="0" top="0.94488188976377963" bottom="0.74803149606299213" header="0.31496062992125984" footer="0.31496062992125984"/>
  <pageSetup paperSize="5" scale="75" orientation="landscape" r:id="rId1"/>
  <ignoredErrors>
    <ignoredError sqref="E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E16" sqref="E16"/>
    </sheetView>
  </sheetViews>
  <sheetFormatPr baseColWidth="10" defaultRowHeight="15" x14ac:dyDescent="0.25"/>
  <cols>
    <col min="1" max="1" width="27.140625" bestFit="1" customWidth="1"/>
    <col min="2" max="2" width="15.42578125" customWidth="1"/>
    <col min="3" max="3" width="15" customWidth="1"/>
    <col min="4" max="6" width="15.140625" customWidth="1"/>
    <col min="7" max="8" width="15" customWidth="1"/>
    <col min="9" max="9" width="15.140625" customWidth="1"/>
    <col min="10" max="10" width="14.42578125" customWidth="1"/>
    <col min="11" max="11" width="15.28515625" style="20" customWidth="1"/>
    <col min="12" max="12" width="14.5703125" customWidth="1"/>
    <col min="13" max="13" width="15.5703125" customWidth="1"/>
    <col min="14" max="14" width="15.42578125" customWidth="1"/>
  </cols>
  <sheetData>
    <row r="2" spans="1:15" ht="23.25" customHeight="1" x14ac:dyDescent="0.2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 x14ac:dyDescent="0.25">
      <c r="A3" s="2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3"/>
    </row>
    <row r="4" spans="1:15" ht="27" x14ac:dyDescent="0.25">
      <c r="A4" s="4" t="s">
        <v>12</v>
      </c>
      <c r="B4" s="5">
        <f t="shared" ref="B4:J4" si="0">B5+B6</f>
        <v>17560286.789999999</v>
      </c>
      <c r="C4" s="5">
        <f t="shared" si="0"/>
        <v>21398796.759999998</v>
      </c>
      <c r="D4" s="5">
        <f t="shared" si="0"/>
        <v>25200336.170000002</v>
      </c>
      <c r="E4" s="5">
        <f t="shared" si="0"/>
        <v>18003029.969999999</v>
      </c>
      <c r="F4" s="5">
        <f t="shared" si="0"/>
        <v>26676976.210000001</v>
      </c>
      <c r="G4" s="5">
        <f t="shared" si="0"/>
        <v>16287916.689999998</v>
      </c>
      <c r="H4" s="5">
        <f t="shared" si="0"/>
        <v>18270039.629999999</v>
      </c>
      <c r="I4" s="5">
        <f t="shared" si="0"/>
        <v>17396203.460000001</v>
      </c>
      <c r="J4" s="5">
        <f t="shared" si="0"/>
        <v>17045097.600000001</v>
      </c>
      <c r="K4" s="5">
        <f>K6+K5</f>
        <v>19752163.240000002</v>
      </c>
      <c r="L4" s="5">
        <f>L5+L6</f>
        <v>18667018.68</v>
      </c>
      <c r="M4" s="5">
        <f>M5+M6</f>
        <v>17767908.009999998</v>
      </c>
      <c r="N4" s="6"/>
    </row>
    <row r="5" spans="1:15" x14ac:dyDescent="0.25">
      <c r="A5" s="26" t="s">
        <v>16</v>
      </c>
      <c r="B5" s="27">
        <f>7339134+170709</f>
        <v>7509843</v>
      </c>
      <c r="C5" s="27">
        <f>8806759.65+616697</f>
        <v>9423456.6500000004</v>
      </c>
      <c r="D5" s="27">
        <f>6603450+188510</f>
        <v>6791960</v>
      </c>
      <c r="E5" s="27">
        <f>6679414.8+32716</f>
        <v>6712130.7999999998</v>
      </c>
      <c r="F5" s="27">
        <f>7652734.8+442742</f>
        <v>8095476.7999999998</v>
      </c>
      <c r="G5" s="27">
        <f>4988025.2+22150</f>
        <v>5010175.2</v>
      </c>
      <c r="H5" s="27">
        <f>10138245.2+256473</f>
        <v>10394718.199999999</v>
      </c>
      <c r="I5" s="27">
        <f>7045455.2+100038</f>
        <v>7145493.2000000002</v>
      </c>
      <c r="J5" s="27">
        <v>6018982.2000000002</v>
      </c>
      <c r="K5" s="27">
        <v>8919736</v>
      </c>
      <c r="L5" s="27">
        <v>7939171.7999999998</v>
      </c>
      <c r="M5" s="27">
        <v>6522230</v>
      </c>
      <c r="N5" s="28">
        <f>SUM(B5:M5)</f>
        <v>90483373.850000009</v>
      </c>
    </row>
    <row r="6" spans="1:15" ht="18" x14ac:dyDescent="0.25">
      <c r="A6" s="29" t="s">
        <v>15</v>
      </c>
      <c r="B6" s="30">
        <f>8769478.27+538.58+242387.25+754333.33+283706.36</f>
        <v>10050443.789999999</v>
      </c>
      <c r="C6" s="30">
        <f>10019558.05+684.83+327247.95+1391078.69+236770.59</f>
        <v>11975340.109999999</v>
      </c>
      <c r="D6" s="30">
        <f>14770183.34+763163.2+563.43+842631.06-191884.42+1983139.6+122792.05+117787.91</f>
        <v>18408376.170000002</v>
      </c>
      <c r="E6" s="30">
        <f>9609358.12+404.41+179854.45+1240557.71+260724.48</f>
        <v>11290899.169999998</v>
      </c>
      <c r="F6" s="30">
        <f>15898740.29+275.1+221125.75+2300252.47+161105.8</f>
        <v>18581499.41</v>
      </c>
      <c r="G6" s="30">
        <f>9348038.54+400966.92+218.79+216535.73-27187.13+1262964-2757.13+78961.77</f>
        <v>11277741.489999996</v>
      </c>
      <c r="H6" s="30">
        <f>7219160.98-446883.2+456.83+164786.17-111993.38+864344.51+55706.65+129742.87</f>
        <v>7875321.4300000006</v>
      </c>
      <c r="I6" s="30">
        <f>8339568.56+342.66+157542.2+1140909.04+447673.66+164674.14</f>
        <v>10250710.260000002</v>
      </c>
      <c r="J6" s="30">
        <v>11026115.4</v>
      </c>
      <c r="K6" s="30">
        <v>10832427.24</v>
      </c>
      <c r="L6" s="30">
        <v>10727846.880000001</v>
      </c>
      <c r="M6" s="30">
        <v>11245678.01</v>
      </c>
      <c r="N6" s="28">
        <f>SUM(B6:M6)</f>
        <v>143542399.35999998</v>
      </c>
    </row>
    <row r="7" spans="1:15" x14ac:dyDescent="0.25">
      <c r="A7" s="10"/>
      <c r="B7" s="11"/>
      <c r="C7" s="11"/>
      <c r="D7" s="11"/>
      <c r="E7" s="11"/>
      <c r="F7" s="11"/>
      <c r="G7" s="11"/>
      <c r="H7" s="11"/>
      <c r="I7" s="11"/>
      <c r="J7" s="13"/>
      <c r="K7" s="14"/>
      <c r="L7" s="11"/>
      <c r="M7" s="11"/>
      <c r="N7" s="12"/>
    </row>
    <row r="8" spans="1:15" s="36" customFormat="1" x14ac:dyDescent="0.25">
      <c r="A8" s="32" t="s">
        <v>17</v>
      </c>
      <c r="B8" s="33">
        <f>753788.94+537523.78+3342.82+435424.43+66851.09+2060064</f>
        <v>3856995.06</v>
      </c>
      <c r="C8" s="33">
        <f>1191844.39+122195.06+481074.16+66851.09+284661.89+1.02+4838104</f>
        <v>6984731.6099999994</v>
      </c>
      <c r="D8" s="33">
        <f>737192.37+215269.49+454139.18+66851.09+1489105</f>
        <v>2962557.13</v>
      </c>
      <c r="E8" s="33">
        <f>1140371.17+903235.11+419342.11+66851.09+90632.84+1385586</f>
        <v>4006018.3199999994</v>
      </c>
      <c r="F8" s="33">
        <f>1288452.85+94949.63+446900.08+66851.09+1150818</f>
        <v>3047971.6500000004</v>
      </c>
      <c r="G8" s="33">
        <f>954089.68+162213.03+8632.66+360609.03+66851.09+1629718</f>
        <v>3182113.49</v>
      </c>
      <c r="H8" s="33">
        <f>1622896.13+293297.25+1604.25+331803.57+66851.09+5577565.78+2372491</f>
        <v>10266509.07</v>
      </c>
      <c r="I8" s="33">
        <f>1108802.09+155020.52+9384.57+363434.12+66851.09+3841468.91+1686865</f>
        <v>7231826.3000000007</v>
      </c>
      <c r="J8" s="34">
        <v>7200536.3899999997</v>
      </c>
      <c r="K8" s="35">
        <v>4881981.32</v>
      </c>
      <c r="L8" s="33">
        <v>6895220.21</v>
      </c>
      <c r="M8" s="33">
        <v>9301886.9000000004</v>
      </c>
      <c r="N8" s="28">
        <f>SUM(B8:M8)</f>
        <v>69818347.450000018</v>
      </c>
    </row>
    <row r="9" spans="1:15" s="36" customFormat="1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  <c r="N9" s="12"/>
    </row>
    <row r="10" spans="1:15" x14ac:dyDescent="0.25">
      <c r="A10" s="15" t="s">
        <v>24</v>
      </c>
      <c r="B10" s="7">
        <v>10974978.68</v>
      </c>
      <c r="C10" s="7">
        <v>10974978.68</v>
      </c>
      <c r="D10" s="7">
        <v>10974978.68</v>
      </c>
      <c r="E10" s="7">
        <v>10974978.68</v>
      </c>
      <c r="F10" s="7">
        <v>10974978.68</v>
      </c>
      <c r="G10" s="7">
        <v>10974978.68</v>
      </c>
      <c r="H10" s="7">
        <v>10974978.68</v>
      </c>
      <c r="I10" s="7">
        <v>10974978.68</v>
      </c>
      <c r="J10" s="7">
        <f>10974978.68+10488.2</f>
        <v>10985466.879999999</v>
      </c>
      <c r="K10" s="7">
        <v>10974978.68</v>
      </c>
      <c r="L10" s="7">
        <v>10974978.68</v>
      </c>
      <c r="M10" s="7">
        <v>10974978.66</v>
      </c>
      <c r="N10" s="28">
        <f>SUM(B10:M10)</f>
        <v>131710232.34</v>
      </c>
    </row>
    <row r="11" spans="1:15" x14ac:dyDescent="0.25">
      <c r="A11" s="37" t="s">
        <v>23</v>
      </c>
      <c r="B11" s="7">
        <v>3298518.7</v>
      </c>
      <c r="C11" s="7">
        <v>3298518.7</v>
      </c>
      <c r="D11" s="7">
        <v>3298518.7</v>
      </c>
      <c r="E11" s="7">
        <v>3298518.7</v>
      </c>
      <c r="F11" s="7">
        <v>3298518.7</v>
      </c>
      <c r="G11" s="7">
        <v>3298518.7</v>
      </c>
      <c r="H11" s="7">
        <v>3298518.7</v>
      </c>
      <c r="I11" s="7">
        <v>3298518.7</v>
      </c>
      <c r="J11" s="8">
        <f>3298518.7+3152.27</f>
        <v>3301670.97</v>
      </c>
      <c r="K11" s="7">
        <v>3298518.7</v>
      </c>
      <c r="L11" s="7">
        <v>0</v>
      </c>
      <c r="M11" s="7">
        <v>0</v>
      </c>
      <c r="N11" s="28">
        <f>SUM(B11:M11)</f>
        <v>32988339.269999996</v>
      </c>
    </row>
    <row r="12" spans="1:15" x14ac:dyDescent="0.25">
      <c r="A12" s="38"/>
      <c r="B12" s="11"/>
      <c r="C12" s="11"/>
      <c r="D12" s="11"/>
      <c r="E12" s="11"/>
      <c r="F12" s="11"/>
      <c r="G12" s="11"/>
      <c r="H12" s="11"/>
      <c r="I12" s="11"/>
      <c r="J12" s="12"/>
      <c r="K12" s="11"/>
      <c r="L12" s="11"/>
      <c r="M12" s="11"/>
      <c r="N12" s="12"/>
    </row>
    <row r="13" spans="1:15" s="36" customFormat="1" x14ac:dyDescent="0.25">
      <c r="A13" s="40" t="s">
        <v>20</v>
      </c>
      <c r="B13" s="7">
        <v>2175798.4900000002</v>
      </c>
      <c r="C13" s="7">
        <v>1408001</v>
      </c>
      <c r="D13" s="33">
        <f>7055524.8+2257567.58</f>
        <v>9313092.379999999</v>
      </c>
      <c r="E13" s="7">
        <v>2259335.13</v>
      </c>
      <c r="F13" s="7">
        <v>2281525.77</v>
      </c>
      <c r="G13" s="7">
        <v>2333033.67</v>
      </c>
      <c r="H13" s="7">
        <f>2264667.85+577000</f>
        <v>2841667.85</v>
      </c>
      <c r="I13" s="7">
        <f>2346744.64+1115200</f>
        <v>3461944.64</v>
      </c>
      <c r="J13" s="35">
        <v>2327128.04</v>
      </c>
      <c r="K13" s="35">
        <v>2519379.02</v>
      </c>
      <c r="L13" s="35">
        <v>4141071.03</v>
      </c>
      <c r="M13" s="35">
        <v>2514161.46</v>
      </c>
      <c r="N13" s="28">
        <f>SUM(B13:M13)</f>
        <v>37576138.479999997</v>
      </c>
    </row>
    <row r="14" spans="1:15" s="36" customFormat="1" x14ac:dyDescent="0.25">
      <c r="A14" s="40" t="s">
        <v>13</v>
      </c>
      <c r="B14" s="7">
        <f>36612681.51+1533219</f>
        <v>38145900.509999998</v>
      </c>
      <c r="C14" s="7">
        <f>30471663.21+2071846</f>
        <v>32543509.210000001</v>
      </c>
      <c r="D14" s="7">
        <f>14726228.69+1810130</f>
        <v>16536358.689999999</v>
      </c>
      <c r="E14" s="7">
        <f>7859699.07+465451</f>
        <v>8325150.0700000003</v>
      </c>
      <c r="F14" s="7">
        <f>7917522.97+396364</f>
        <v>8313886.9699999997</v>
      </c>
      <c r="G14" s="7">
        <f>12209540.77+478978.75</f>
        <v>12688519.52</v>
      </c>
      <c r="H14" s="7">
        <f>9413368.49+302127</f>
        <v>9715495.4900000002</v>
      </c>
      <c r="I14" s="7">
        <v>11150615.42</v>
      </c>
      <c r="J14" s="35">
        <v>11389220.18</v>
      </c>
      <c r="K14" s="35">
        <v>22719943.68</v>
      </c>
      <c r="L14" s="35">
        <v>8281909.6699999999</v>
      </c>
      <c r="M14" s="35">
        <v>32049426.890000001</v>
      </c>
      <c r="N14" s="28">
        <f>SUM(B14:M14)</f>
        <v>211859936.29999995</v>
      </c>
    </row>
    <row r="15" spans="1:15" x14ac:dyDescent="0.25">
      <c r="A15" s="17" t="s">
        <v>14</v>
      </c>
      <c r="B15" s="9">
        <f>SUM(B8:B14)+B4</f>
        <v>76012478.229999989</v>
      </c>
      <c r="C15" s="9">
        <f t="shared" ref="C15:M15" si="1">SUM(C8:C14)+C4</f>
        <v>76608535.960000008</v>
      </c>
      <c r="D15" s="9">
        <f t="shared" si="1"/>
        <v>68285841.75</v>
      </c>
      <c r="E15" s="9">
        <f t="shared" si="1"/>
        <v>46867030.869999997</v>
      </c>
      <c r="F15" s="9">
        <f t="shared" si="1"/>
        <v>54593857.980000004</v>
      </c>
      <c r="G15" s="9">
        <f t="shared" si="1"/>
        <v>48765080.75</v>
      </c>
      <c r="H15" s="9">
        <f t="shared" si="1"/>
        <v>55367209.420000002</v>
      </c>
      <c r="I15" s="9">
        <f t="shared" si="1"/>
        <v>53514087.200000003</v>
      </c>
      <c r="J15" s="9">
        <f t="shared" si="1"/>
        <v>52249120.059999995</v>
      </c>
      <c r="K15" s="9">
        <f t="shared" si="1"/>
        <v>64146964.640000001</v>
      </c>
      <c r="L15" s="9">
        <f t="shared" si="1"/>
        <v>48960198.270000003</v>
      </c>
      <c r="M15" s="9">
        <f t="shared" si="1"/>
        <v>72608361.920000002</v>
      </c>
      <c r="N15" s="9">
        <f>SUM(B15:M15)</f>
        <v>717978767.04999995</v>
      </c>
    </row>
    <row r="16" spans="1:1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41">
        <f>SUM(N5:N14)</f>
        <v>717978767.04999995</v>
      </c>
    </row>
    <row r="17" spans="1:2" x14ac:dyDescent="0.25">
      <c r="A17" s="23"/>
      <c r="B17" s="23"/>
    </row>
    <row r="18" spans="1:2" x14ac:dyDescent="0.25">
      <c r="A18" s="24"/>
      <c r="B18" s="24"/>
    </row>
    <row r="19" spans="1:2" x14ac:dyDescent="0.25">
      <c r="A19" s="25"/>
      <c r="B19" s="25"/>
    </row>
    <row r="20" spans="1:2" x14ac:dyDescent="0.25">
      <c r="A20" s="42"/>
      <c r="B20" s="42"/>
    </row>
  </sheetData>
  <mergeCells count="1">
    <mergeCell ref="A2:N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H5" sqref="H5"/>
    </sheetView>
  </sheetViews>
  <sheetFormatPr baseColWidth="10" defaultRowHeight="15" x14ac:dyDescent="0.25"/>
  <cols>
    <col min="1" max="1" width="22.7109375" customWidth="1"/>
    <col min="2" max="14" width="15.7109375" customWidth="1"/>
  </cols>
  <sheetData>
    <row r="1" spans="1:15" x14ac:dyDescent="0.25">
      <c r="K1" s="20"/>
    </row>
    <row r="2" spans="1:15" ht="23.25" customHeight="1" x14ac:dyDescent="0.25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 x14ac:dyDescent="0.25">
      <c r="A3" s="2"/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11</v>
      </c>
      <c r="N3" s="3"/>
    </row>
    <row r="4" spans="1:15" ht="18" x14ac:dyDescent="0.25">
      <c r="A4" s="4" t="s">
        <v>12</v>
      </c>
      <c r="B4" s="5">
        <f t="shared" ref="B4:J4" si="0">B5+B6</f>
        <v>20156697.100000001</v>
      </c>
      <c r="C4" s="5">
        <f t="shared" si="0"/>
        <v>23908433.010000002</v>
      </c>
      <c r="D4" s="5">
        <f t="shared" si="0"/>
        <v>26666941.009999998</v>
      </c>
      <c r="E4" s="5">
        <f t="shared" si="0"/>
        <v>18972049.780000001</v>
      </c>
      <c r="F4" s="5">
        <f t="shared" si="0"/>
        <v>29094547.43</v>
      </c>
      <c r="G4" s="5">
        <f t="shared" si="0"/>
        <v>21773089.300000001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>K6+K5</f>
        <v>0</v>
      </c>
      <c r="L4" s="5">
        <f>L5+L6</f>
        <v>0</v>
      </c>
      <c r="M4" s="5">
        <f>M5+M6</f>
        <v>0</v>
      </c>
      <c r="N4" s="6"/>
    </row>
    <row r="5" spans="1:15" ht="20.100000000000001" customHeight="1" x14ac:dyDescent="0.25">
      <c r="A5" s="45" t="s">
        <v>16</v>
      </c>
      <c r="B5" s="44">
        <v>7920795.5999999996</v>
      </c>
      <c r="C5" s="44">
        <v>11223857.800000001</v>
      </c>
      <c r="D5" s="44">
        <v>7636573.5999999996</v>
      </c>
      <c r="E5" s="44">
        <v>7897118</v>
      </c>
      <c r="F5" s="44">
        <v>8295445.5999999996</v>
      </c>
      <c r="G5" s="44">
        <v>9294407.8000000007</v>
      </c>
      <c r="H5" s="27"/>
      <c r="I5" s="27"/>
      <c r="J5" s="27"/>
      <c r="K5" s="27"/>
      <c r="L5" s="27"/>
      <c r="M5" s="27"/>
      <c r="N5" s="28">
        <f>SUM(B5:M5)</f>
        <v>52268198.400000006</v>
      </c>
    </row>
    <row r="6" spans="1:15" ht="20.100000000000001" customHeight="1" x14ac:dyDescent="0.25">
      <c r="A6" s="40" t="s">
        <v>15</v>
      </c>
      <c r="B6" s="33">
        <v>12235901.5</v>
      </c>
      <c r="C6" s="33">
        <v>12684575.210000001</v>
      </c>
      <c r="D6" s="33">
        <v>19030367.41</v>
      </c>
      <c r="E6" s="33">
        <v>11074931.779999999</v>
      </c>
      <c r="F6" s="33">
        <v>20799101.829999998</v>
      </c>
      <c r="G6" s="33">
        <v>12478681.5</v>
      </c>
      <c r="H6" s="30"/>
      <c r="I6" s="30"/>
      <c r="J6" s="30"/>
      <c r="K6" s="30"/>
      <c r="L6" s="30"/>
      <c r="M6" s="30"/>
      <c r="N6" s="28">
        <f>SUM(B6:M6)</f>
        <v>88303559.230000004</v>
      </c>
    </row>
    <row r="7" spans="1:15" ht="20.100000000000001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3"/>
      <c r="K7" s="14"/>
      <c r="L7" s="11"/>
      <c r="M7" s="11"/>
      <c r="N7" s="12"/>
    </row>
    <row r="8" spans="1:15" s="36" customFormat="1" ht="15.75" customHeight="1" x14ac:dyDescent="0.25">
      <c r="A8" s="32" t="s">
        <v>17</v>
      </c>
      <c r="B8" s="33">
        <v>1877808.06</v>
      </c>
      <c r="C8" s="33">
        <v>6591857.25</v>
      </c>
      <c r="D8" s="33">
        <v>2482727.0299999998</v>
      </c>
      <c r="E8" s="33">
        <v>5068573.1500000004</v>
      </c>
      <c r="F8" s="33">
        <v>2235992.08</v>
      </c>
      <c r="G8" s="33">
        <v>2040003.67</v>
      </c>
      <c r="H8" s="33"/>
      <c r="I8" s="33"/>
      <c r="J8" s="34"/>
      <c r="K8" s="35"/>
      <c r="L8" s="33"/>
      <c r="M8" s="33"/>
      <c r="N8" s="28">
        <f>SUM(B8:M8)</f>
        <v>20296961.240000002</v>
      </c>
    </row>
    <row r="9" spans="1:15" s="36" customFormat="1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2"/>
      <c r="K9" s="11"/>
      <c r="L9" s="11"/>
      <c r="M9" s="11"/>
      <c r="N9" s="12"/>
    </row>
    <row r="10" spans="1:15" ht="20.100000000000001" customHeight="1" x14ac:dyDescent="0.25">
      <c r="A10" s="15" t="s">
        <v>24</v>
      </c>
      <c r="B10" s="7">
        <v>12923947.74</v>
      </c>
      <c r="C10" s="7">
        <v>12923947.74</v>
      </c>
      <c r="D10" s="7">
        <f>12923947.74+7166.96</f>
        <v>12931114.700000001</v>
      </c>
      <c r="E10" s="7">
        <f>12923947.74+13.81</f>
        <v>12923961.550000001</v>
      </c>
      <c r="F10" s="7">
        <f>12923947.74+0.03</f>
        <v>12923947.77</v>
      </c>
      <c r="G10" s="7">
        <v>12923947.74</v>
      </c>
      <c r="H10" s="7"/>
      <c r="I10" s="7"/>
      <c r="J10" s="7"/>
      <c r="K10" s="7"/>
      <c r="L10" s="7"/>
      <c r="M10" s="7"/>
      <c r="N10" s="28">
        <f>SUM(B10:M10)</f>
        <v>77550867.239999995</v>
      </c>
    </row>
    <row r="11" spans="1:15" ht="26.25" customHeight="1" x14ac:dyDescent="0.25">
      <c r="A11" s="43" t="s">
        <v>23</v>
      </c>
      <c r="B11" s="7">
        <v>3233694.4</v>
      </c>
      <c r="C11" s="7">
        <v>3233694.4</v>
      </c>
      <c r="D11" s="7">
        <f>3233694.4+1440.2</f>
        <v>3235134.6</v>
      </c>
      <c r="E11" s="7">
        <f>3233694.4+2.78</f>
        <v>3233697.1799999997</v>
      </c>
      <c r="F11" s="7">
        <f>3233694.4+0.01</f>
        <v>3233694.4099999997</v>
      </c>
      <c r="G11" s="7">
        <v>3233694.4</v>
      </c>
      <c r="H11" s="7"/>
      <c r="I11" s="7"/>
      <c r="J11" s="8"/>
      <c r="K11" s="7"/>
      <c r="L11" s="7"/>
      <c r="M11" s="7"/>
      <c r="N11" s="28">
        <f>SUM(B11:M11)</f>
        <v>19403609.390000001</v>
      </c>
    </row>
    <row r="12" spans="1:15" ht="20.100000000000001" customHeight="1" x14ac:dyDescent="0.25">
      <c r="A12" s="38"/>
      <c r="B12" s="11"/>
      <c r="C12" s="11"/>
      <c r="D12" s="11"/>
      <c r="E12" s="11"/>
      <c r="F12" s="11"/>
      <c r="G12" s="11"/>
      <c r="H12" s="11"/>
      <c r="I12" s="11"/>
      <c r="J12" s="12"/>
      <c r="K12" s="11"/>
      <c r="L12" s="11"/>
      <c r="M12" s="11"/>
      <c r="N12" s="12"/>
    </row>
    <row r="13" spans="1:15" s="36" customFormat="1" ht="20.100000000000001" customHeight="1" x14ac:dyDescent="0.25">
      <c r="A13" s="40" t="s">
        <v>20</v>
      </c>
      <c r="B13" s="7">
        <v>2526505.94</v>
      </c>
      <c r="C13" s="7">
        <v>2572988.69</v>
      </c>
      <c r="D13" s="33">
        <v>2631290.63</v>
      </c>
      <c r="E13" s="7">
        <v>3393992.44</v>
      </c>
      <c r="F13" s="7">
        <v>4277943.95</v>
      </c>
      <c r="G13" s="7">
        <v>2701073.74</v>
      </c>
      <c r="H13" s="7"/>
      <c r="I13" s="7"/>
      <c r="J13" s="35"/>
      <c r="K13" s="35"/>
      <c r="L13" s="35"/>
      <c r="M13" s="35"/>
      <c r="N13" s="28">
        <f>SUM(B13:M13)</f>
        <v>18103795.390000001</v>
      </c>
    </row>
    <row r="14" spans="1:15" s="36" customFormat="1" ht="20.100000000000001" customHeight="1" x14ac:dyDescent="0.25">
      <c r="A14" s="40" t="s">
        <v>13</v>
      </c>
      <c r="B14" s="7">
        <v>39655274.460000001</v>
      </c>
      <c r="C14" s="7">
        <v>38787601.359999999</v>
      </c>
      <c r="D14" s="7">
        <v>19694861.710000001</v>
      </c>
      <c r="E14" s="7">
        <v>15758491.619999999</v>
      </c>
      <c r="F14" s="7">
        <v>12785139.58</v>
      </c>
      <c r="G14" s="7">
        <v>26173669.710000001</v>
      </c>
      <c r="H14" s="7"/>
      <c r="I14" s="7"/>
      <c r="J14" s="35"/>
      <c r="K14" s="35"/>
      <c r="L14" s="35"/>
      <c r="M14" s="35"/>
      <c r="N14" s="28">
        <f>SUM(B14:M14)</f>
        <v>152855038.44</v>
      </c>
    </row>
    <row r="15" spans="1:15" ht="20.100000000000001" customHeight="1" x14ac:dyDescent="0.25">
      <c r="A15" s="17" t="s">
        <v>14</v>
      </c>
      <c r="B15" s="9">
        <f>SUM(B8:B14)+B4</f>
        <v>80373927.700000003</v>
      </c>
      <c r="C15" s="9">
        <f t="shared" ref="C15:M15" si="1">SUM(C8:C14)+C4</f>
        <v>88018522.450000003</v>
      </c>
      <c r="D15" s="9">
        <f t="shared" si="1"/>
        <v>67642069.680000007</v>
      </c>
      <c r="E15" s="9">
        <f t="shared" si="1"/>
        <v>59350765.720000006</v>
      </c>
      <c r="F15" s="9">
        <f t="shared" si="1"/>
        <v>64551265.219999999</v>
      </c>
      <c r="G15" s="9">
        <f t="shared" si="1"/>
        <v>68845478.560000002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>SUM(B15:M15)</f>
        <v>428782029.32999998</v>
      </c>
    </row>
    <row r="16" spans="1:1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41">
        <f>SUM(N5:N14)</f>
        <v>428782029.32999998</v>
      </c>
    </row>
    <row r="17" spans="1:11" x14ac:dyDescent="0.25">
      <c r="A17" s="23"/>
      <c r="B17" s="23"/>
      <c r="K17" s="20"/>
    </row>
  </sheetData>
  <mergeCells count="1"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Félix</cp:lastModifiedBy>
  <cp:lastPrinted>2020-09-30T18:47:47Z</cp:lastPrinted>
  <dcterms:created xsi:type="dcterms:W3CDTF">2020-09-30T16:27:16Z</dcterms:created>
  <dcterms:modified xsi:type="dcterms:W3CDTF">2021-07-30T16:40:01Z</dcterms:modified>
</cp:coreProperties>
</file>